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1\Desktop\"/>
    </mc:Choice>
  </mc:AlternateContent>
  <bookViews>
    <workbookView xWindow="156" yWindow="1620" windowWidth="19692" windowHeight="10704"/>
  </bookViews>
  <sheets>
    <sheet name="C-182 Cost of Ownership" sheetId="2" r:id="rId1"/>
    <sheet name="C-182 Ownership, Rental, Taxes" sheetId="1" r:id="rId2"/>
  </sheets>
  <definedNames>
    <definedName name="_xlnm.Print_Area" localSheetId="0">'C-182 Cost of Ownership'!$A$1:$K$76</definedName>
    <definedName name="_xlnm.Print_Area" localSheetId="1">'C-182 Ownership, Rental, Taxes'!$A$1:$K$77</definedName>
  </definedNames>
  <calcPr calcId="152511" iterate="1" concurrentCalc="0"/>
</workbook>
</file>

<file path=xl/calcChain.xml><?xml version="1.0" encoding="utf-8"?>
<calcChain xmlns="http://schemas.openxmlformats.org/spreadsheetml/2006/main">
  <c r="E35" i="2" l="1"/>
  <c r="J37" i="2"/>
  <c r="E13" i="2"/>
  <c r="E16" i="2"/>
  <c r="I22" i="2"/>
  <c r="J22" i="2"/>
  <c r="J25" i="2"/>
  <c r="J26" i="2"/>
  <c r="J27" i="2"/>
  <c r="J28" i="2"/>
  <c r="J29" i="2"/>
  <c r="J30" i="2"/>
  <c r="J32" i="2"/>
  <c r="J38" i="2"/>
  <c r="E40" i="2"/>
  <c r="I42" i="2"/>
  <c r="I23" i="2"/>
  <c r="I24" i="2"/>
  <c r="I30" i="2"/>
  <c r="I43" i="2"/>
  <c r="I46" i="2"/>
  <c r="J46" i="2"/>
  <c r="J48" i="2"/>
  <c r="I37" i="2"/>
  <c r="I32" i="2"/>
  <c r="I38" i="2"/>
  <c r="I48" i="2"/>
  <c r="E13" i="1"/>
  <c r="E35" i="1"/>
  <c r="I37" i="1"/>
  <c r="E11" i="2"/>
  <c r="E11" i="1"/>
  <c r="E16" i="1"/>
  <c r="I22" i="1"/>
  <c r="J22" i="1"/>
  <c r="I26" i="2"/>
  <c r="I27" i="2"/>
  <c r="I29" i="2"/>
  <c r="J24" i="2"/>
  <c r="E19" i="1"/>
  <c r="J24" i="1"/>
  <c r="J23" i="2"/>
  <c r="J23" i="1"/>
  <c r="E14" i="2"/>
  <c r="E19" i="2"/>
  <c r="I27" i="1"/>
  <c r="E18" i="1"/>
  <c r="E40" i="1"/>
  <c r="I42" i="1"/>
  <c r="J37" i="1"/>
  <c r="E14" i="1"/>
  <c r="J25" i="1"/>
  <c r="I26" i="1"/>
  <c r="J26" i="1"/>
  <c r="J27" i="1"/>
  <c r="I28" i="1"/>
  <c r="J28" i="1"/>
  <c r="I29" i="1"/>
  <c r="J29" i="1"/>
  <c r="I24" i="1"/>
  <c r="I23" i="1"/>
  <c r="E18" i="2"/>
  <c r="E15" i="1"/>
  <c r="I28" i="2"/>
  <c r="L32" i="2"/>
  <c r="L30" i="2"/>
  <c r="L29" i="2"/>
  <c r="L28" i="2"/>
  <c r="L27" i="2"/>
  <c r="L26" i="2"/>
  <c r="L25" i="2"/>
  <c r="L24" i="2"/>
  <c r="L23" i="2"/>
  <c r="L22" i="2"/>
  <c r="L22" i="1"/>
  <c r="L23" i="1"/>
  <c r="L24" i="1"/>
  <c r="L25" i="1"/>
  <c r="L26" i="1"/>
  <c r="L27" i="1"/>
  <c r="L28" i="1"/>
  <c r="L29" i="1"/>
  <c r="I30" i="1"/>
  <c r="J30" i="1"/>
  <c r="L30" i="1"/>
  <c r="I32" i="1"/>
  <c r="J32" i="1"/>
  <c r="L32" i="1"/>
  <c r="I38" i="1"/>
  <c r="J38" i="1"/>
  <c r="I43" i="1"/>
  <c r="I46" i="1"/>
  <c r="J46" i="1"/>
  <c r="I48" i="1"/>
  <c r="J48" i="1"/>
</calcChain>
</file>

<file path=xl/comments1.xml><?xml version="1.0" encoding="utf-8"?>
<comments xmlns="http://schemas.openxmlformats.org/spreadsheetml/2006/main">
  <authors>
    <author>Admin1</author>
  </authors>
  <commentList>
    <comment ref="J24" authorId="0" shapeId="0">
      <text>
        <r>
          <rPr>
            <b/>
            <sz val="9"/>
            <color indexed="81"/>
            <rFont val="Tahoma"/>
            <family val="2"/>
          </rPr>
          <t xml:space="preserve">Every 50 Hr Tach Time Inspection requires 3.0 Shop Hrs; every 100 Hr Tach Time Inspection requires 20 Shop Hrs; Unscheduled Maint may require an additional 5.0 hrs per 100 Tach Hrs, so a total of 28 Shop Hrs are needed every 100 Tach Hrs, or 0.28 Shop Hrs per 1.0 Tach Hr. 
In our local operating environment, if the Tachometer turns over 1 hrs, the Hobbs Meter may turn 1.1 Hrs.  So 0.28/1.1 = 0.2545 Shop Hrs are needed per 1.0 Hobbs Hr. 
</t>
        </r>
        <r>
          <rPr>
            <sz val="9"/>
            <color indexed="81"/>
            <rFont val="Tahoma"/>
            <family val="2"/>
          </rPr>
          <t xml:space="preserve">
</t>
        </r>
      </text>
    </comment>
  </commentList>
</comments>
</file>

<file path=xl/comments2.xml><?xml version="1.0" encoding="utf-8"?>
<comments xmlns="http://schemas.openxmlformats.org/spreadsheetml/2006/main">
  <authors>
    <author>Admin1</author>
  </authors>
  <commentList>
    <comment ref="J23" authorId="0" shapeId="0">
      <text>
        <r>
          <rPr>
            <b/>
            <sz val="9"/>
            <color indexed="81"/>
            <rFont val="Tahoma"/>
            <family val="2"/>
          </rPr>
          <t>Assumes C-82T Avg Fuel use 14.0 GPH + $1.78 Oil per Hr</t>
        </r>
        <r>
          <rPr>
            <sz val="9"/>
            <color indexed="81"/>
            <rFont val="Tahoma"/>
            <family val="2"/>
          </rPr>
          <t xml:space="preserve">
</t>
        </r>
      </text>
    </comment>
    <comment ref="J24" authorId="0" shapeId="0">
      <text>
        <r>
          <rPr>
            <b/>
            <sz val="9"/>
            <color indexed="81"/>
            <rFont val="Tahoma"/>
            <family val="2"/>
          </rPr>
          <t xml:space="preserve">Assumes 0.2545 Shop Hrs are needed per 1.0 Hobbs Hr.  Parts costs per Hr est. to be 30% of Labor Costs
</t>
        </r>
      </text>
    </comment>
    <comment ref="I25" authorId="0" shapeId="0">
      <text>
        <r>
          <rPr>
            <b/>
            <sz val="9"/>
            <color indexed="81"/>
            <rFont val="Tahoma"/>
            <family val="2"/>
          </rPr>
          <t xml:space="preserve">Annual Subscription costs for Garmin Data bases updates, and XM Satellite Wx servs, Sirius Radio </t>
        </r>
      </text>
    </comment>
    <comment ref="I26" authorId="0" shapeId="0">
      <text>
        <r>
          <rPr>
            <b/>
            <sz val="9"/>
            <color indexed="81"/>
            <rFont val="Tahoma"/>
            <family val="2"/>
          </rPr>
          <t>Insurance costs for rental use were received costing 2% of the Hull Value plus $2K/yr for liability, for a 4 seat aircraft.</t>
        </r>
        <r>
          <rPr>
            <sz val="9"/>
            <color indexed="81"/>
            <rFont val="Tahoma"/>
            <family val="2"/>
          </rPr>
          <t xml:space="preserve">
</t>
        </r>
      </text>
    </comment>
    <comment ref="I27" authorId="0" shapeId="0">
      <text>
        <r>
          <rPr>
            <b/>
            <sz val="9"/>
            <color indexed="81"/>
            <rFont val="Tahoma"/>
            <family val="2"/>
          </rPr>
          <t xml:space="preserve">Based upon Depreciation averaging 6% per yr over a 3 yr period since new, per 'Vref' blue book
</t>
        </r>
        <r>
          <rPr>
            <sz val="9"/>
            <color indexed="81"/>
            <rFont val="Tahoma"/>
            <family val="2"/>
          </rPr>
          <t xml:space="preserve">
</t>
        </r>
      </text>
    </comment>
    <comment ref="I29" authorId="0" shapeId="0">
      <text>
        <r>
          <rPr>
            <b/>
            <sz val="9"/>
            <color indexed="81"/>
            <rFont val="Tahoma"/>
            <family val="2"/>
          </rPr>
          <t>1.1% of Aircraft Value with Sales Tax Value, for Aircraft parked at KPAO in Santa Clara County, CA</t>
        </r>
        <r>
          <rPr>
            <sz val="9"/>
            <color indexed="81"/>
            <rFont val="Tahoma"/>
            <family val="2"/>
          </rPr>
          <t xml:space="preserve">
</t>
        </r>
      </text>
    </comment>
    <comment ref="J30" authorId="0" shapeId="0">
      <text>
        <r>
          <rPr>
            <b/>
            <sz val="9"/>
            <color indexed="81"/>
            <rFont val="Tahoma"/>
            <family val="2"/>
          </rPr>
          <t xml:space="preserve">In Rental Situations, Admin Fees or Costs are customarily estimated as a % of the Rental Fee. E.g. 20%
</t>
        </r>
        <r>
          <rPr>
            <sz val="9"/>
            <color indexed="81"/>
            <rFont val="Tahoma"/>
            <family val="2"/>
          </rPr>
          <t xml:space="preserve">
</t>
        </r>
      </text>
    </comment>
  </commentList>
</comments>
</file>

<file path=xl/sharedStrings.xml><?xml version="1.0" encoding="utf-8"?>
<sst xmlns="http://schemas.openxmlformats.org/spreadsheetml/2006/main" count="75" uniqueCount="48">
  <si>
    <t>Finance Costs</t>
  </si>
  <si>
    <t>Fuel &amp; Oil</t>
  </si>
  <si>
    <t>Maintenance &amp; Repair</t>
  </si>
  <si>
    <t>Depreciation/Reserve Fund</t>
  </si>
  <si>
    <t>Parking</t>
  </si>
  <si>
    <t>Fuel Cost ($/Gal)</t>
  </si>
  <si>
    <t>Property Taxes</t>
  </si>
  <si>
    <t>Flight Hrs/Mo</t>
  </si>
  <si>
    <t>Insurance (Personal/Rental Use)</t>
  </si>
  <si>
    <t>Finance Rate (%APR)</t>
  </si>
  <si>
    <t>Used</t>
  </si>
  <si>
    <t>Low</t>
  </si>
  <si>
    <t>High</t>
  </si>
  <si>
    <t>Maintenance Shop Rate ($/Hr)</t>
  </si>
  <si>
    <t xml:space="preserve">  Notes</t>
  </si>
  <si>
    <t>$/Yr</t>
  </si>
  <si>
    <t>$/Hr</t>
  </si>
  <si>
    <t>For slider control calc</t>
  </si>
  <si>
    <t>© SFC 2014</t>
  </si>
  <si>
    <t>Rental Revenue</t>
  </si>
  <si>
    <t>XM Wx &amp; Garmin, Electronic Srvcs</t>
  </si>
  <si>
    <t>Downpayment</t>
  </si>
  <si>
    <t>Tax Bracket</t>
  </si>
  <si>
    <t>Admin/Mrktng 20 % of Totl</t>
  </si>
  <si>
    <t>Net Income ($/Yr, $/Hr)</t>
  </si>
  <si>
    <t>Aircraft Value</t>
  </si>
  <si>
    <t>Bus. Use Tax Benefit</t>
  </si>
  <si>
    <t>Loan Rate (%APR)</t>
  </si>
  <si>
    <t>Down Pmnt Oppty Cost (%APR)</t>
  </si>
  <si>
    <t>Downpayment (%)</t>
  </si>
  <si>
    <t>Rental Revenue ($/Yr, $/Hr)</t>
  </si>
  <si>
    <t xml:space="preserve">Cost </t>
  </si>
  <si>
    <t>Move sliders to change value</t>
  </si>
  <si>
    <t>Example: Try a Cessna-182T Skylane with Usage of 35 Hours/Mo (420 Hours, 59,400 miles per Year)</t>
  </si>
  <si>
    <t xml:space="preserve">Net Income (Costs) After Tax </t>
  </si>
  <si>
    <t>© Stanford Flying Club 2014</t>
  </si>
  <si>
    <t>Open in Excel on PC or MAC to be able to use full spreadsheet functionality</t>
  </si>
  <si>
    <t>Fuel &amp; Oil Servs</t>
  </si>
  <si>
    <t>Admin/Mrktng est 20 % of Totl Cost</t>
  </si>
  <si>
    <t>Cost</t>
  </si>
  <si>
    <t>Rental Revenue ($/Hr)</t>
  </si>
  <si>
    <r>
      <t xml:space="preserve">Bus Use Deduct </t>
    </r>
    <r>
      <rPr>
        <b/>
        <sz val="8"/>
        <color theme="1" tint="0.249977111117893"/>
        <rFont val="Calibri"/>
        <family val="2"/>
        <scheme val="minor"/>
      </rPr>
      <t>Int, Depr (5 yr S.L.), Op Exp</t>
    </r>
  </si>
  <si>
    <t>Ownership w. Rental Income, Tax Effects - C-182T</t>
  </si>
  <si>
    <t xml:space="preserve">    New C-182 JT $515K</t>
  </si>
  <si>
    <t>Ownership w. Tax Effects - C-182T</t>
  </si>
  <si>
    <t>New C-182 JT $515K</t>
  </si>
  <si>
    <t>Notes</t>
  </si>
  <si>
    <r>
      <t xml:space="preserve">Bus Use Deduction: </t>
    </r>
    <r>
      <rPr>
        <b/>
        <sz val="8"/>
        <color theme="1" tint="0.249977111117893"/>
        <rFont val="Calibri"/>
        <family val="2"/>
        <scheme val="minor"/>
      </rPr>
      <t>Int, Depr (5 yr S.L.), Op Exp</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</si>
</sst>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quot;$&quot;#,##0.00"/>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9"/>
      <color theme="1"/>
      <name val="Calibri"/>
      <family val="2"/>
      <scheme val="minor"/>
    </font>
    <font>
      <b/>
      <sz val="20"/>
      <color theme="0"/>
      <name val="Microsoft Sans Serif"/>
      <family val="2"/>
    </font>
    <font>
      <sz val="20"/>
      <color theme="1"/>
      <name val="Calibri"/>
      <family val="2"/>
      <scheme val="minor"/>
    </font>
    <font>
      <sz val="8"/>
      <color theme="1"/>
      <name val="Calibri"/>
      <family val="2"/>
      <scheme val="minor"/>
    </font>
    <font>
      <b/>
      <sz val="11"/>
      <color theme="4" tint="-0.499984740745262"/>
      <name val="Calibri"/>
      <family val="2"/>
      <scheme val="minor"/>
    </font>
    <font>
      <b/>
      <sz val="12"/>
      <color theme="4" tint="-0.499984740745262"/>
      <name val="Calibri"/>
      <family val="2"/>
      <scheme val="minor"/>
    </font>
    <font>
      <b/>
      <sz val="11"/>
      <color theme="0"/>
      <name val="Calibri"/>
      <family val="2"/>
      <scheme val="minor"/>
    </font>
    <font>
      <b/>
      <sz val="9"/>
      <color theme="1"/>
      <name val="Calibri"/>
      <family val="2"/>
      <scheme val="minor"/>
    </font>
    <font>
      <b/>
      <sz val="11"/>
      <color theme="5" tint="-0.249977111117893"/>
      <name val="Calibri"/>
      <family val="2"/>
      <scheme val="minor"/>
    </font>
    <font>
      <b/>
      <sz val="11"/>
      <color theme="6" tint="-0.499984740745262"/>
      <name val="Calibri"/>
      <family val="2"/>
      <scheme val="minor"/>
    </font>
    <font>
      <b/>
      <sz val="12"/>
      <color theme="5" tint="-0.249977111117893"/>
      <name val="Calibri"/>
      <family val="2"/>
      <scheme val="minor"/>
    </font>
    <font>
      <sz val="9"/>
      <color rgb="FFC00000"/>
      <name val="Calibri"/>
      <family val="2"/>
      <scheme val="minor"/>
    </font>
    <font>
      <sz val="9"/>
      <color theme="1" tint="0.14999847407452621"/>
      <name val="Calibri"/>
      <family val="2"/>
      <scheme val="minor"/>
    </font>
    <font>
      <b/>
      <sz val="11"/>
      <color theme="4" tint="-0.499984740745262"/>
      <name val="Trebuchet MS"/>
      <family val="2"/>
    </font>
    <font>
      <b/>
      <sz val="11"/>
      <color theme="1" tint="0.249977111117893"/>
      <name val="Calibri"/>
      <family val="2"/>
      <scheme val="minor"/>
    </font>
    <font>
      <b/>
      <sz val="11"/>
      <color theme="1" tint="0.34998626667073579"/>
      <name val="Calibri"/>
      <family val="2"/>
      <scheme val="minor"/>
    </font>
    <font>
      <b/>
      <sz val="8"/>
      <color theme="1"/>
      <name val="Calibri"/>
      <family val="2"/>
      <scheme val="minor"/>
    </font>
    <font>
      <b/>
      <sz val="8"/>
      <color rgb="FF000000"/>
      <name val="Calibri"/>
      <family val="2"/>
      <scheme val="minor"/>
    </font>
    <font>
      <b/>
      <sz val="11"/>
      <color theme="3" tint="-0.499984740745262"/>
      <name val="Calibri"/>
      <family val="2"/>
      <scheme val="minor"/>
    </font>
    <font>
      <sz val="8"/>
      <color theme="0" tint="-0.249977111117893"/>
      <name val="Calibri"/>
      <family val="2"/>
      <scheme val="minor"/>
    </font>
    <font>
      <sz val="11"/>
      <color theme="0" tint="-0.249977111117893"/>
      <name val="Calibri"/>
      <family val="2"/>
      <scheme val="minor"/>
    </font>
    <font>
      <b/>
      <sz val="11"/>
      <color theme="0" tint="-0.249977111117893"/>
      <name val="Calibri"/>
      <family val="2"/>
      <scheme val="minor"/>
    </font>
    <font>
      <sz val="8"/>
      <color theme="1" tint="0.14999847407452621"/>
      <name val="Calibri"/>
      <family val="2"/>
      <scheme val="minor"/>
    </font>
    <font>
      <b/>
      <sz val="11"/>
      <color theme="0" tint="-0.499984740745262"/>
      <name val="Calibri"/>
      <family val="2"/>
      <scheme val="minor"/>
    </font>
    <font>
      <b/>
      <sz val="11"/>
      <color theme="3" tint="-0.249977111117893"/>
      <name val="Calibri"/>
      <family val="2"/>
      <scheme val="minor"/>
    </font>
    <font>
      <b/>
      <sz val="10"/>
      <color theme="3" tint="-0.249977111117893"/>
      <name val="Calibri"/>
      <family val="2"/>
      <scheme val="minor"/>
    </font>
    <font>
      <b/>
      <sz val="11"/>
      <color theme="3" tint="0.39997558519241921"/>
      <name val="Calibri"/>
      <family val="2"/>
      <scheme val="minor"/>
    </font>
    <font>
      <b/>
      <sz val="12"/>
      <color theme="3" tint="0.39997558519241921"/>
      <name val="Calibri"/>
      <family val="2"/>
      <scheme val="minor"/>
    </font>
    <font>
      <sz val="11"/>
      <color theme="4" tint="0.59999389629810485"/>
      <name val="Calibri"/>
      <family val="2"/>
      <scheme val="minor"/>
    </font>
    <font>
      <sz val="11"/>
      <color theme="3" tint="-0.499984740745262"/>
      <name val="Calibri"/>
      <family val="2"/>
      <scheme val="minor"/>
    </font>
    <font>
      <sz val="9"/>
      <color indexed="81"/>
      <name val="Tahoma"/>
      <family val="2"/>
    </font>
    <font>
      <b/>
      <sz val="9"/>
      <color indexed="81"/>
      <name val="Tahoma"/>
      <family val="2"/>
    </font>
    <font>
      <sz val="9"/>
      <color theme="0" tint="-0.499984740745262"/>
      <name val="Calibri"/>
      <family val="2"/>
      <scheme val="minor"/>
    </font>
    <font>
      <b/>
      <sz val="8"/>
      <color theme="1" tint="0.249977111117893"/>
      <name val="Calibri"/>
      <family val="2"/>
      <scheme val="minor"/>
    </font>
    <font>
      <b/>
      <sz val="16"/>
      <color theme="0"/>
      <name val="Microsoft Sans Serif"/>
      <family val="2"/>
    </font>
    <font>
      <b/>
      <sz val="16"/>
      <color rgb="FFFF0000"/>
      <name val="Microsoft Sans Serif"/>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style="thin">
        <color theme="4" tint="-0.24994659260841701"/>
      </left>
      <right/>
      <top/>
      <bottom/>
      <diagonal/>
    </border>
    <border>
      <left style="hair">
        <color auto="1"/>
      </left>
      <right style="hair">
        <color auto="1"/>
      </right>
      <top style="hair">
        <color auto="1"/>
      </top>
      <bottom style="hair">
        <color auto="1"/>
      </bottom>
      <diagonal/>
    </border>
    <border>
      <left style="thin">
        <color indexed="64"/>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diagonal/>
    </border>
    <border>
      <left/>
      <right/>
      <top style="thin">
        <color theme="4" tint="-0.24994659260841701"/>
      </top>
      <bottom/>
      <diagonal/>
    </border>
  </borders>
  <cellStyleXfs count="4">
    <xf numFmtId="0" fontId="0" fillId="0" borderId="0"/>
    <xf numFmtId="9" fontId="1" fillId="0" borderId="0" applyFont="0" applyFill="0" applyBorder="0" applyAlignment="0" applyProtection="0"/>
    <xf numFmtId="0" fontId="3" fillId="0" borderId="0"/>
    <xf numFmtId="44" fontId="4" fillId="0" borderId="0" applyFont="0" applyFill="0" applyBorder="0" applyAlignment="0" applyProtection="0"/>
  </cellStyleXfs>
  <cellXfs count="129">
    <xf numFmtId="0" fontId="0" fillId="0" borderId="0" xfId="0"/>
    <xf numFmtId="0" fontId="6" fillId="0" borderId="0" xfId="2" applyFont="1" applyFill="1" applyAlignment="1" applyProtection="1">
      <alignment horizontal="center" vertical="center"/>
      <protection locked="0" hidden="1"/>
    </xf>
    <xf numFmtId="0" fontId="6" fillId="3" borderId="0" xfId="2" applyFont="1" applyFill="1" applyAlignment="1" applyProtection="1">
      <alignment vertical="center"/>
      <protection locked="0" hidden="1"/>
    </xf>
    <xf numFmtId="0" fontId="6" fillId="3" borderId="0" xfId="2" applyFont="1" applyFill="1" applyAlignment="1" applyProtection="1">
      <alignment horizontal="center" vertical="center"/>
      <protection locked="0" hidden="1"/>
    </xf>
    <xf numFmtId="0" fontId="6" fillId="3" borderId="0" xfId="2" applyFont="1" applyFill="1" applyAlignment="1" applyProtection="1">
      <alignment vertical="center" wrapText="1"/>
      <protection locked="0" hidden="1"/>
    </xf>
    <xf numFmtId="0" fontId="0" fillId="0" borderId="0" xfId="0" applyProtection="1">
      <protection locked="0" hidden="1"/>
    </xf>
    <xf numFmtId="0" fontId="25" fillId="0" borderId="0" xfId="0" applyFont="1" applyFill="1" applyProtection="1">
      <protection locked="0" hidden="1"/>
    </xf>
    <xf numFmtId="0" fontId="20" fillId="0" borderId="0" xfId="0" applyFont="1" applyProtection="1">
      <protection locked="0" hidden="1"/>
    </xf>
    <xf numFmtId="42" fontId="20" fillId="0" borderId="0" xfId="0" applyNumberFormat="1" applyFont="1" applyProtection="1">
      <protection hidden="1"/>
    </xf>
    <xf numFmtId="5" fontId="20" fillId="0" borderId="0" xfId="0" applyNumberFormat="1" applyFont="1" applyProtection="1">
      <protection hidden="1"/>
    </xf>
    <xf numFmtId="7" fontId="20" fillId="0" borderId="0" xfId="0" applyNumberFormat="1" applyFont="1" applyProtection="1">
      <protection hidden="1"/>
    </xf>
    <xf numFmtId="0" fontId="32" fillId="0" borderId="0" xfId="0" applyFont="1" applyFill="1" applyBorder="1" applyProtection="1">
      <protection locked="0" hidden="1"/>
    </xf>
    <xf numFmtId="0" fontId="23" fillId="0" borderId="0" xfId="0" applyFont="1" applyFill="1" applyBorder="1" applyProtection="1">
      <protection locked="0" hidden="1"/>
    </xf>
    <xf numFmtId="5" fontId="0" fillId="0" borderId="0" xfId="0" applyNumberFormat="1" applyProtection="1">
      <protection locked="0" hidden="1"/>
    </xf>
    <xf numFmtId="0" fontId="2" fillId="0" borderId="0" xfId="0" applyFont="1" applyProtection="1">
      <protection locked="0" hidden="1"/>
    </xf>
    <xf numFmtId="0" fontId="0" fillId="0" borderId="0" xfId="0" applyFont="1" applyProtection="1">
      <protection locked="0" hidden="1"/>
    </xf>
    <xf numFmtId="6" fontId="15" fillId="0" borderId="0" xfId="0" applyNumberFormat="1" applyFont="1" applyFill="1" applyBorder="1" applyProtection="1">
      <protection locked="0" hidden="1"/>
    </xf>
    <xf numFmtId="0" fontId="29" fillId="0" borderId="17" xfId="0" applyFont="1" applyFill="1" applyBorder="1" applyProtection="1">
      <protection locked="0" hidden="1"/>
    </xf>
    <xf numFmtId="0" fontId="29" fillId="0" borderId="18" xfId="0" applyFont="1" applyFill="1" applyBorder="1" applyProtection="1">
      <protection locked="0" hidden="1"/>
    </xf>
    <xf numFmtId="0" fontId="29" fillId="0" borderId="19" xfId="0" applyFont="1" applyFill="1" applyBorder="1" applyProtection="1">
      <protection locked="0" hidden="1"/>
    </xf>
    <xf numFmtId="6" fontId="18" fillId="0" borderId="7" xfId="0" applyNumberFormat="1" applyFont="1" applyBorder="1" applyProtection="1">
      <protection hidden="1"/>
    </xf>
    <xf numFmtId="6" fontId="18" fillId="0" borderId="0" xfId="0" applyNumberFormat="1" applyFont="1" applyBorder="1" applyProtection="1">
      <protection locked="0" hidden="1"/>
    </xf>
    <xf numFmtId="0" fontId="0" fillId="0" borderId="0" xfId="0" applyFill="1" applyProtection="1">
      <protection locked="0" hidden="1"/>
    </xf>
    <xf numFmtId="0" fontId="0" fillId="0" borderId="2" xfId="0" applyBorder="1" applyProtection="1">
      <protection locked="0" hidden="1"/>
    </xf>
    <xf numFmtId="0" fontId="0" fillId="0" borderId="3" xfId="0" applyBorder="1" applyProtection="1">
      <protection locked="0" hidden="1"/>
    </xf>
    <xf numFmtId="0" fontId="0" fillId="0" borderId="0" xfId="0" applyFill="1" applyBorder="1" applyProtection="1">
      <protection locked="0" hidden="1"/>
    </xf>
    <xf numFmtId="9" fontId="10" fillId="0" borderId="0" xfId="0" applyNumberFormat="1" applyFont="1" applyBorder="1" applyProtection="1">
      <protection locked="0" hidden="1"/>
    </xf>
    <xf numFmtId="0" fontId="0" fillId="0" borderId="0" xfId="0" applyBorder="1" applyProtection="1">
      <protection locked="0" hidden="1"/>
    </xf>
    <xf numFmtId="0" fontId="20" fillId="0" borderId="8" xfId="0" applyFont="1" applyFill="1" applyBorder="1" applyProtection="1">
      <protection locked="0" hidden="1"/>
    </xf>
    <xf numFmtId="0" fontId="28" fillId="0" borderId="12" xfId="0" applyFont="1" applyFill="1" applyBorder="1" applyProtection="1">
      <protection locked="0" hidden="1"/>
    </xf>
    <xf numFmtId="0" fontId="29" fillId="0" borderId="10" xfId="0" applyFont="1" applyFill="1" applyBorder="1" applyProtection="1">
      <protection locked="0" hidden="1"/>
    </xf>
    <xf numFmtId="0" fontId="29" fillId="0" borderId="12" xfId="0" applyFont="1" applyFill="1" applyBorder="1" applyProtection="1">
      <protection locked="0" hidden="1"/>
    </xf>
    <xf numFmtId="9" fontId="10" fillId="0" borderId="0" xfId="0" applyNumberFormat="1" applyFont="1" applyProtection="1">
      <protection locked="0" hidden="1"/>
    </xf>
    <xf numFmtId="42" fontId="20" fillId="0" borderId="0" xfId="0" applyNumberFormat="1" applyFont="1" applyProtection="1">
      <protection locked="0" hidden="1"/>
    </xf>
    <xf numFmtId="0" fontId="20" fillId="0" borderId="0" xfId="0" applyFont="1" applyFill="1" applyBorder="1" applyProtection="1">
      <protection locked="0" hidden="1"/>
    </xf>
    <xf numFmtId="0" fontId="32" fillId="0" borderId="14" xfId="0" applyFont="1" applyFill="1" applyBorder="1" applyProtection="1">
      <protection locked="0" hidden="1"/>
    </xf>
    <xf numFmtId="0" fontId="31" fillId="0" borderId="15" xfId="0" applyFont="1" applyFill="1" applyBorder="1" applyProtection="1">
      <protection locked="0" hidden="1"/>
    </xf>
    <xf numFmtId="0" fontId="29" fillId="0" borderId="0" xfId="0" applyFont="1" applyFill="1" applyBorder="1" applyProtection="1">
      <protection locked="0" hidden="1"/>
    </xf>
    <xf numFmtId="0" fontId="20" fillId="0" borderId="0" xfId="0" applyFont="1" applyFill="1" applyProtection="1">
      <protection locked="0" hidden="1"/>
    </xf>
    <xf numFmtId="42" fontId="20" fillId="0" borderId="0" xfId="0" applyNumberFormat="1" applyFont="1" applyFill="1" applyProtection="1">
      <protection locked="0" hidden="1"/>
    </xf>
    <xf numFmtId="8" fontId="15" fillId="0" borderId="0" xfId="0" applyNumberFormat="1" applyFont="1" applyFill="1" applyBorder="1" applyProtection="1">
      <protection locked="0" hidden="1"/>
    </xf>
    <xf numFmtId="0" fontId="0" fillId="0" borderId="0" xfId="0" applyFont="1" applyFill="1" applyProtection="1">
      <protection locked="0" hidden="1"/>
    </xf>
    <xf numFmtId="0" fontId="11" fillId="0" borderId="0" xfId="0" applyFont="1" applyFill="1" applyProtection="1">
      <protection locked="0" hidden="1"/>
    </xf>
    <xf numFmtId="0" fontId="12" fillId="0" borderId="0" xfId="0" applyFont="1" applyAlignment="1" applyProtection="1">
      <alignment horizontal="left" wrapText="1"/>
      <protection locked="0" hidden="1"/>
    </xf>
    <xf numFmtId="41" fontId="18" fillId="0" borderId="7" xfId="0" applyNumberFormat="1" applyFont="1" applyBorder="1" applyProtection="1">
      <protection hidden="1"/>
    </xf>
    <xf numFmtId="10" fontId="18" fillId="0" borderId="7" xfId="0" applyNumberFormat="1" applyFont="1" applyBorder="1" applyProtection="1">
      <protection hidden="1"/>
    </xf>
    <xf numFmtId="8" fontId="18" fillId="0" borderId="7" xfId="0" applyNumberFormat="1" applyFont="1" applyBorder="1" applyProtection="1">
      <protection hidden="1"/>
    </xf>
    <xf numFmtId="42" fontId="20" fillId="0" borderId="7" xfId="0" applyNumberFormat="1" applyFont="1" applyBorder="1" applyProtection="1">
      <protection hidden="1"/>
    </xf>
    <xf numFmtId="5" fontId="13" fillId="0" borderId="7" xfId="0" applyNumberFormat="1" applyFont="1" applyBorder="1" applyProtection="1">
      <protection hidden="1"/>
    </xf>
    <xf numFmtId="42" fontId="14" fillId="0" borderId="7" xfId="0" applyNumberFormat="1" applyFont="1" applyBorder="1" applyProtection="1">
      <protection hidden="1"/>
    </xf>
    <xf numFmtId="6" fontId="20" fillId="0" borderId="7" xfId="0" applyNumberFormat="1" applyFont="1" applyBorder="1" applyProtection="1">
      <protection hidden="1"/>
    </xf>
    <xf numFmtId="6" fontId="14" fillId="0" borderId="7" xfId="0" applyNumberFormat="1" applyFont="1" applyFill="1" applyBorder="1" applyProtection="1">
      <protection hidden="1"/>
    </xf>
    <xf numFmtId="0" fontId="0" fillId="3" borderId="0" xfId="0" applyFill="1" applyProtection="1">
      <protection locked="0" hidden="1"/>
    </xf>
    <xf numFmtId="0" fontId="7" fillId="3" borderId="0" xfId="0" applyFont="1" applyFill="1" applyProtection="1">
      <protection locked="0" hidden="1"/>
    </xf>
    <xf numFmtId="0" fontId="7" fillId="0" borderId="0" xfId="0" applyFont="1" applyProtection="1">
      <protection locked="0" hidden="1"/>
    </xf>
    <xf numFmtId="0" fontId="7" fillId="0" borderId="0" xfId="0" applyFont="1" applyFill="1" applyProtection="1">
      <protection locked="0" hidden="1"/>
    </xf>
    <xf numFmtId="0" fontId="24" fillId="0" borderId="0" xfId="0" applyFont="1" applyFill="1" applyAlignment="1" applyProtection="1">
      <alignment wrapText="1"/>
      <protection locked="0" hidden="1"/>
    </xf>
    <xf numFmtId="0" fontId="5" fillId="0" borderId="0" xfId="0" applyFont="1" applyProtection="1">
      <protection locked="0" hidden="1"/>
    </xf>
    <xf numFmtId="0" fontId="8" fillId="0" borderId="0" xfId="0" applyFont="1" applyProtection="1">
      <protection locked="0" hidden="1"/>
    </xf>
    <xf numFmtId="0" fontId="8" fillId="0" borderId="0" xfId="0" applyFont="1" applyAlignment="1" applyProtection="1">
      <protection locked="0" hidden="1"/>
    </xf>
    <xf numFmtId="0" fontId="29" fillId="2" borderId="7" xfId="0" applyFont="1" applyFill="1" applyBorder="1" applyProtection="1">
      <protection locked="0" hidden="1"/>
    </xf>
    <xf numFmtId="0" fontId="29" fillId="2" borderId="8" xfId="0" applyFont="1" applyFill="1" applyBorder="1" applyProtection="1">
      <protection locked="0" hidden="1"/>
    </xf>
    <xf numFmtId="0" fontId="29" fillId="2" borderId="10" xfId="0" applyFont="1" applyFill="1" applyBorder="1" applyProtection="1">
      <protection locked="0" hidden="1"/>
    </xf>
    <xf numFmtId="0" fontId="0" fillId="0" borderId="4" xfId="0" applyFill="1" applyBorder="1" applyProtection="1">
      <protection locked="0" hidden="1"/>
    </xf>
    <xf numFmtId="6" fontId="25" fillId="0" borderId="0" xfId="0" applyNumberFormat="1" applyFont="1" applyFill="1" applyProtection="1">
      <protection locked="0" hidden="1"/>
    </xf>
    <xf numFmtId="6" fontId="18" fillId="0" borderId="0" xfId="0" applyNumberFormat="1" applyFont="1" applyProtection="1">
      <protection locked="0" hidden="1"/>
    </xf>
    <xf numFmtId="0" fontId="29" fillId="2" borderId="12" xfId="0" applyFont="1" applyFill="1" applyBorder="1" applyProtection="1">
      <protection locked="0" hidden="1"/>
    </xf>
    <xf numFmtId="41" fontId="18" fillId="0" borderId="0" xfId="0" applyNumberFormat="1" applyFont="1" applyBorder="1" applyProtection="1">
      <protection locked="0" hidden="1"/>
    </xf>
    <xf numFmtId="41" fontId="25" fillId="0" borderId="0" xfId="0" applyNumberFormat="1" applyFont="1" applyFill="1" applyProtection="1">
      <protection locked="0" hidden="1"/>
    </xf>
    <xf numFmtId="0" fontId="9" fillId="2" borderId="7" xfId="0" applyFont="1" applyFill="1" applyBorder="1" applyProtection="1">
      <protection locked="0" hidden="1"/>
    </xf>
    <xf numFmtId="0" fontId="9" fillId="2" borderId="8" xfId="0" applyFont="1" applyFill="1" applyBorder="1" applyProtection="1">
      <protection locked="0" hidden="1"/>
    </xf>
    <xf numFmtId="0" fontId="9" fillId="2" borderId="12" xfId="0" applyFont="1" applyFill="1" applyBorder="1" applyProtection="1">
      <protection locked="0" hidden="1"/>
    </xf>
    <xf numFmtId="10" fontId="18" fillId="0" borderId="0" xfId="0" applyNumberFormat="1" applyFont="1" applyBorder="1" applyProtection="1">
      <protection locked="0" hidden="1"/>
    </xf>
    <xf numFmtId="10" fontId="25" fillId="0" borderId="0" xfId="0" applyNumberFormat="1" applyFont="1" applyFill="1" applyProtection="1">
      <protection locked="0" hidden="1"/>
    </xf>
    <xf numFmtId="0" fontId="29" fillId="2" borderId="9" xfId="0" applyFont="1" applyFill="1" applyBorder="1" applyProtection="1">
      <protection locked="0" hidden="1"/>
    </xf>
    <xf numFmtId="0" fontId="29" fillId="2" borderId="11" xfId="0" applyFont="1" applyFill="1" applyBorder="1" applyProtection="1">
      <protection locked="0" hidden="1"/>
    </xf>
    <xf numFmtId="0" fontId="29" fillId="2" borderId="13" xfId="0" applyFont="1" applyFill="1" applyBorder="1" applyProtection="1">
      <protection locked="0" hidden="1"/>
    </xf>
    <xf numFmtId="8" fontId="18" fillId="0" borderId="0" xfId="0" applyNumberFormat="1" applyFont="1" applyBorder="1" applyProtection="1">
      <protection locked="0" hidden="1"/>
    </xf>
    <xf numFmtId="0" fontId="30" fillId="0" borderId="0" xfId="0" applyFont="1" applyAlignment="1" applyProtection="1">
      <alignment horizontal="center"/>
      <protection locked="0" hidden="1"/>
    </xf>
    <xf numFmtId="0" fontId="25" fillId="0" borderId="0" xfId="0" applyFont="1" applyProtection="1">
      <protection locked="0" hidden="1"/>
    </xf>
    <xf numFmtId="9" fontId="25" fillId="0" borderId="5" xfId="1" applyFont="1" applyFill="1" applyBorder="1" applyProtection="1">
      <protection locked="0" hidden="1"/>
    </xf>
    <xf numFmtId="9" fontId="25" fillId="0" borderId="0" xfId="1" applyFont="1" applyFill="1" applyBorder="1" applyProtection="1">
      <protection locked="0" hidden="1"/>
    </xf>
    <xf numFmtId="0" fontId="0" fillId="0" borderId="4" xfId="0" applyBorder="1" applyProtection="1">
      <protection locked="0" hidden="1"/>
    </xf>
    <xf numFmtId="9" fontId="10" fillId="0" borderId="10" xfId="0" applyNumberFormat="1" applyFont="1" applyBorder="1" applyProtection="1">
      <protection locked="0" hidden="1"/>
    </xf>
    <xf numFmtId="0" fontId="0" fillId="0" borderId="6" xfId="0" applyBorder="1" applyProtection="1">
      <protection locked="0" hidden="1"/>
    </xf>
    <xf numFmtId="9" fontId="25" fillId="0" borderId="0" xfId="0" applyNumberFormat="1" applyFont="1" applyProtection="1">
      <protection locked="0" hidden="1"/>
    </xf>
    <xf numFmtId="42" fontId="26" fillId="0" borderId="0" xfId="0" applyNumberFormat="1" applyFont="1" applyProtection="1">
      <protection locked="0" hidden="1"/>
    </xf>
    <xf numFmtId="0" fontId="0" fillId="0" borderId="0" xfId="0" applyAlignment="1" applyProtection="1">
      <alignment horizontal="left" indent="1"/>
      <protection locked="0" hidden="1"/>
    </xf>
    <xf numFmtId="164" fontId="19" fillId="0" borderId="0" xfId="0" applyNumberFormat="1" applyFont="1" applyProtection="1">
      <protection locked="0" hidden="1"/>
    </xf>
    <xf numFmtId="0" fontId="21" fillId="0" borderId="0" xfId="0" applyFont="1" applyAlignment="1" applyProtection="1">
      <alignment horizontal="left" vertical="center" wrapText="1"/>
      <protection locked="0" hidden="1"/>
    </xf>
    <xf numFmtId="0" fontId="8" fillId="0" borderId="0" xfId="0" applyFont="1" applyAlignment="1" applyProtection="1">
      <alignment vertical="center"/>
      <protection locked="0" hidden="1"/>
    </xf>
    <xf numFmtId="0" fontId="22" fillId="0" borderId="0" xfId="0" applyFont="1" applyAlignment="1" applyProtection="1">
      <alignment horizontal="left" vertical="center" wrapText="1"/>
      <protection locked="0" hidden="1"/>
    </xf>
    <xf numFmtId="0" fontId="8" fillId="0" borderId="0" xfId="0" applyFont="1" applyFill="1" applyProtection="1">
      <protection locked="0" hidden="1"/>
    </xf>
    <xf numFmtId="0" fontId="22" fillId="0" borderId="0" xfId="0" applyFont="1" applyFill="1" applyAlignment="1" applyProtection="1">
      <alignment horizontal="left" vertical="center" wrapText="1"/>
      <protection locked="0" hidden="1"/>
    </xf>
    <xf numFmtId="0" fontId="22" fillId="0" borderId="0" xfId="0" applyFont="1" applyFill="1" applyAlignment="1" applyProtection="1">
      <alignment horizontal="left" vertical="center"/>
      <protection locked="0" hidden="1"/>
    </xf>
    <xf numFmtId="0" fontId="0" fillId="0" borderId="0" xfId="0" applyFill="1" applyAlignment="1" applyProtection="1">
      <protection locked="0" hidden="1"/>
    </xf>
    <xf numFmtId="0" fontId="21" fillId="0" borderId="0" xfId="0" applyFont="1" applyProtection="1">
      <protection locked="0" hidden="1"/>
    </xf>
    <xf numFmtId="0" fontId="37" fillId="0" borderId="0" xfId="0" applyFont="1" applyAlignment="1" applyProtection="1">
      <alignment horizontal="center"/>
      <protection locked="0" hidden="1"/>
    </xf>
    <xf numFmtId="0" fontId="17" fillId="0" borderId="0" xfId="0" applyFont="1" applyAlignment="1" applyProtection="1">
      <alignment horizontal="center"/>
      <protection locked="0" hidden="1"/>
    </xf>
    <xf numFmtId="0" fontId="16" fillId="0" borderId="0" xfId="0" applyFont="1" applyAlignment="1" applyProtection="1">
      <alignment horizontal="center"/>
      <protection locked="0" hidden="1"/>
    </xf>
    <xf numFmtId="0" fontId="39" fillId="3" borderId="0" xfId="2" applyFont="1" applyFill="1" applyAlignment="1" applyProtection="1">
      <alignment horizontal="center" vertical="center" wrapText="1"/>
      <protection locked="0" hidden="1"/>
    </xf>
    <xf numFmtId="0" fontId="6" fillId="3" borderId="0" xfId="2" applyFont="1" applyFill="1" applyAlignment="1" applyProtection="1">
      <alignment horizontal="center" vertical="center" wrapText="1"/>
      <protection locked="0" hidden="1"/>
    </xf>
    <xf numFmtId="0" fontId="37" fillId="0" borderId="0" xfId="0" applyFont="1" applyAlignment="1" applyProtection="1">
      <alignment horizontal="center"/>
      <protection locked="0" hidden="1"/>
    </xf>
    <xf numFmtId="0" fontId="40" fillId="3" borderId="0" xfId="2" applyFont="1" applyFill="1" applyAlignment="1" applyProtection="1">
      <alignment horizontal="center" vertical="center"/>
      <protection locked="0" hidden="1"/>
    </xf>
    <xf numFmtId="0" fontId="39" fillId="3" borderId="0" xfId="2" applyFont="1" applyFill="1" applyAlignment="1" applyProtection="1">
      <alignment horizontal="center" vertical="center"/>
      <protection locked="0" hidden="1"/>
    </xf>
    <xf numFmtId="0" fontId="0" fillId="0" borderId="0" xfId="0" applyProtection="1">
      <protection hidden="1"/>
    </xf>
    <xf numFmtId="42" fontId="20" fillId="0" borderId="1" xfId="0" applyNumberFormat="1" applyFont="1" applyBorder="1" applyProtection="1">
      <protection hidden="1"/>
    </xf>
    <xf numFmtId="42" fontId="14" fillId="0" borderId="1" xfId="0" applyNumberFormat="1" applyFont="1" applyBorder="1" applyProtection="1">
      <protection hidden="1"/>
    </xf>
    <xf numFmtId="6" fontId="14" fillId="0" borderId="1" xfId="0" applyNumberFormat="1" applyFont="1" applyFill="1" applyBorder="1" applyProtection="1">
      <protection hidden="1"/>
    </xf>
    <xf numFmtId="6" fontId="18" fillId="0" borderId="16" xfId="0" applyNumberFormat="1" applyFont="1" applyBorder="1" applyProtection="1">
      <protection hidden="1"/>
    </xf>
    <xf numFmtId="41" fontId="18" fillId="0" borderId="16" xfId="0" applyNumberFormat="1" applyFont="1" applyBorder="1" applyProtection="1">
      <protection hidden="1"/>
    </xf>
    <xf numFmtId="10" fontId="18" fillId="0" borderId="16" xfId="0" applyNumberFormat="1" applyFont="1" applyBorder="1" applyProtection="1">
      <protection hidden="1"/>
    </xf>
    <xf numFmtId="8" fontId="18" fillId="0" borderId="16" xfId="0" applyNumberFormat="1" applyFont="1" applyBorder="1" applyProtection="1">
      <protection hidden="1"/>
    </xf>
    <xf numFmtId="6" fontId="15" fillId="0" borderId="1" xfId="0" applyNumberFormat="1" applyFont="1" applyFill="1" applyBorder="1" applyProtection="1">
      <protection hidden="1"/>
    </xf>
    <xf numFmtId="0" fontId="27" fillId="0" borderId="0" xfId="0" applyFont="1" applyAlignment="1" applyProtection="1">
      <alignment horizontal="center"/>
      <protection locked="0" hidden="1"/>
    </xf>
    <xf numFmtId="0" fontId="34" fillId="0" borderId="0" xfId="0" applyFont="1" applyFill="1" applyProtection="1">
      <protection locked="0" hidden="1"/>
    </xf>
    <xf numFmtId="0" fontId="8" fillId="0" borderId="0" xfId="0" applyFont="1" applyAlignment="1" applyProtection="1">
      <alignment horizontal="right"/>
      <protection locked="0" hidden="1"/>
    </xf>
    <xf numFmtId="0" fontId="33" fillId="0" borderId="0" xfId="0" applyFont="1" applyProtection="1">
      <protection locked="0" hidden="1"/>
    </xf>
    <xf numFmtId="0" fontId="33" fillId="0" borderId="2" xfId="0" applyFont="1" applyBorder="1" applyProtection="1">
      <protection locked="0" hidden="1"/>
    </xf>
    <xf numFmtId="0" fontId="33" fillId="0" borderId="3" xfId="0" applyFont="1" applyBorder="1" applyProtection="1">
      <protection locked="0" hidden="1"/>
    </xf>
    <xf numFmtId="0" fontId="33" fillId="0" borderId="4" xfId="0" applyFont="1" applyFill="1" applyBorder="1" applyProtection="1">
      <protection locked="0" hidden="1"/>
    </xf>
    <xf numFmtId="10" fontId="33" fillId="0" borderId="0" xfId="0" applyNumberFormat="1" applyFont="1" applyFill="1" applyProtection="1">
      <protection locked="0" hidden="1"/>
    </xf>
    <xf numFmtId="10" fontId="18" fillId="0" borderId="20" xfId="0" applyNumberFormat="1" applyFont="1" applyBorder="1" applyProtection="1">
      <protection locked="0" hidden="1"/>
    </xf>
    <xf numFmtId="0" fontId="33" fillId="0" borderId="21" xfId="0" applyFont="1" applyBorder="1" applyProtection="1">
      <protection locked="0" hidden="1"/>
    </xf>
    <xf numFmtId="0" fontId="33" fillId="0" borderId="0" xfId="0" applyFont="1" applyFill="1" applyBorder="1" applyProtection="1">
      <protection locked="0" hidden="1"/>
    </xf>
    <xf numFmtId="42" fontId="20" fillId="0" borderId="0" xfId="0" applyNumberFormat="1" applyFont="1" applyBorder="1" applyProtection="1">
      <protection locked="0" hidden="1"/>
    </xf>
    <xf numFmtId="9" fontId="10" fillId="0" borderId="7" xfId="0" applyNumberFormat="1" applyFont="1" applyBorder="1" applyProtection="1">
      <protection locked="0" hidden="1"/>
    </xf>
    <xf numFmtId="0" fontId="28" fillId="0" borderId="0" xfId="0" applyFont="1" applyFill="1" applyBorder="1" applyProtection="1">
      <protection locked="0" hidden="1"/>
    </xf>
    <xf numFmtId="42" fontId="20" fillId="0" borderId="7" xfId="0" applyNumberFormat="1" applyFont="1" applyBorder="1" applyProtection="1">
      <protection locked="0" hidden="1"/>
    </xf>
  </cellXfs>
  <cellStyles count="4">
    <cellStyle name="Currency 2" xfId="3"/>
    <cellStyle name="Normal" xfId="0" builtinId="0"/>
    <cellStyle name="Normal 2" xfId="2"/>
    <cellStyle name="Percent" xfId="1" builtinId="5"/>
  </cellStyles>
  <dxfs count="0"/>
  <tableStyles count="0" defaultTableStyle="TableStyleMedium2" defaultPivotStyle="PivotStyleLight16"/>
  <colors>
    <mruColors>
      <color rgb="FFF6F6F6"/>
      <color rgb="FFC42523"/>
      <color rgb="FF05BF24"/>
      <color rgb="FF06D829"/>
      <color rgb="FF387C40"/>
      <color rgb="FF469C50"/>
      <color rgb="FF5823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20" fmlaLink="$L$19" horiz="1" max="30" min="10" page="10" val="20"/>
</file>

<file path=xl/ctrlProps/ctrlProp10.xml><?xml version="1.0" encoding="utf-8"?>
<formControlPr xmlns="http://schemas.microsoft.com/office/spreadsheetml/2009/9/main" objectType="Scroll" dx="20" fmlaLink="$L$40" horiz="1" inc="5" max="50" page="10" val="35"/>
</file>

<file path=xl/ctrlProps/ctrlProp11.xml><?xml version="1.0" encoding="utf-8"?>
<formControlPr xmlns="http://schemas.microsoft.com/office/spreadsheetml/2009/9/main" objectType="Scroll" dx="20" fmlaLink="$L$18" horiz="1" max="40" min="16" page="10" val="24"/>
</file>

<file path=xl/ctrlProps/ctrlProp12.xml><?xml version="1.0" encoding="utf-8"?>
<formControlPr xmlns="http://schemas.microsoft.com/office/spreadsheetml/2009/9/main" objectType="Scroll" dx="20" fmlaLink="$L$19" horiz="1" max="30" min="10" page="10" val="20"/>
</file>

<file path=xl/ctrlProps/ctrlProp13.xml><?xml version="1.0" encoding="utf-8"?>
<formControlPr xmlns="http://schemas.microsoft.com/office/spreadsheetml/2009/9/main" objectType="Scroll" dx="20" fmlaLink="$L$13" horiz="1" max="100" min="1" page="10" val="35"/>
</file>

<file path=xl/ctrlProps/ctrlProp14.xml><?xml version="1.0" encoding="utf-8"?>
<formControlPr xmlns="http://schemas.microsoft.com/office/spreadsheetml/2009/9/main" objectType="Scroll" dx="20" fmlaLink="$L$16" horiz="1" max="20" page="0" val="10"/>
</file>

<file path=xl/ctrlProps/ctrlProp15.xml><?xml version="1.0" encoding="utf-8"?>
<formControlPr xmlns="http://schemas.microsoft.com/office/spreadsheetml/2009/9/main" objectType="Scroll" dx="20" fmlaLink="$L$11" horiz="1" max="55" min="10" page="10" val="30"/>
</file>

<file path=xl/ctrlProps/ctrlProp16.xml><?xml version="1.0" encoding="utf-8"?>
<formControlPr xmlns="http://schemas.microsoft.com/office/spreadsheetml/2009/9/main" objectType="Scroll" dx="20" fmlaLink="$L$35" horiz="1" max="80" page="10" val="32"/>
</file>

<file path=xl/ctrlProps/ctrlProp17.xml><?xml version="1.0" encoding="utf-8"?>
<formControlPr xmlns="http://schemas.microsoft.com/office/spreadsheetml/2009/9/main" objectType="Scroll" dx="20" fmlaLink="$L$14" horiz="1" inc="5" max="100" page="10" val="20"/>
</file>

<file path=xl/ctrlProps/ctrlProp18.xml><?xml version="1.0" encoding="utf-8"?>
<formControlPr xmlns="http://schemas.microsoft.com/office/spreadsheetml/2009/9/main" objectType="Scroll" dx="20" fmlaLink="$L$40" horiz="1" inc="5" max="50" page="10" val="20"/>
</file>

<file path=xl/ctrlProps/ctrlProp19.xml><?xml version="1.0" encoding="utf-8"?>
<formControlPr xmlns="http://schemas.microsoft.com/office/spreadsheetml/2009/9/main" objectType="Scroll" dx="20" fmlaLink="$L$15" horiz="1" max="20" page="10" val="0"/>
</file>

<file path=xl/ctrlProps/ctrlProp2.xml><?xml version="1.0" encoding="utf-8"?>
<formControlPr xmlns="http://schemas.microsoft.com/office/spreadsheetml/2009/9/main" objectType="Scroll" dx="20" fmlaLink="$L$13" horiz="1" max="100" min="1" page="10" val="35"/>
</file>

<file path=xl/ctrlProps/ctrlProp3.xml><?xml version="1.0" encoding="utf-8"?>
<formControlPr xmlns="http://schemas.microsoft.com/office/spreadsheetml/2009/9/main" objectType="Scroll" dx="20" fmlaLink="$L$16" horiz="1" max="20" page="10" val="10"/>
</file>

<file path=xl/ctrlProps/ctrlProp4.xml><?xml version="1.0" encoding="utf-8"?>
<formControlPr xmlns="http://schemas.microsoft.com/office/spreadsheetml/2009/9/main" objectType="Scroll" dx="20" fmlaLink="$L$14" horiz="1" inc="5" max="100" page="0" val="20"/>
</file>

<file path=xl/ctrlProps/ctrlProp5.xml><?xml version="1.0" encoding="utf-8"?>
<formControlPr xmlns="http://schemas.microsoft.com/office/spreadsheetml/2009/9/main" objectType="Scroll" dx="20" fmlaLink="$L$18" horiz="1" max="36" min="16" page="10" val="24"/>
</file>

<file path=xl/ctrlProps/ctrlProp6.xml><?xml version="1.0" encoding="utf-8"?>
<formControlPr xmlns="http://schemas.microsoft.com/office/spreadsheetml/2009/9/main" objectType="Scroll" dx="20" fmlaLink="$L$40" horiz="1" inc="5" max="50" page="10" val="35"/>
</file>

<file path=xl/ctrlProps/ctrlProp7.xml><?xml version="1.0" encoding="utf-8"?>
<formControlPr xmlns="http://schemas.microsoft.com/office/spreadsheetml/2009/9/main" objectType="Scroll" dx="20" fmlaLink="$L$11" horiz="1" max="55" min="10" page="10" val="30"/>
</file>

<file path=xl/ctrlProps/ctrlProp8.xml><?xml version="1.0" encoding="utf-8"?>
<formControlPr xmlns="http://schemas.microsoft.com/office/spreadsheetml/2009/9/main" objectType="Scroll" dx="20" fmlaLink="$L$18" horiz="1" max="36" min="16" page="10" val="24"/>
</file>

<file path=xl/ctrlProps/ctrlProp9.xml><?xml version="1.0" encoding="utf-8"?>
<formControlPr xmlns="http://schemas.microsoft.com/office/spreadsheetml/2009/9/main" objectType="Scroll" dx="20" fmlaLink="$L$35" horiz="1" max="80" page="1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xdr:colOff>
          <xdr:row>18</xdr:row>
          <xdr:rowOff>22860</xdr:rowOff>
        </xdr:from>
        <xdr:to>
          <xdr:col>9</xdr:col>
          <xdr:colOff>594360</xdr:colOff>
          <xdr:row>18</xdr:row>
          <xdr:rowOff>175260</xdr:rowOff>
        </xdr:to>
        <xdr:sp macro="" textlink="">
          <xdr:nvSpPr>
            <xdr:cNvPr id="2049" name="Scroll Bar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30480</xdr:rowOff>
        </xdr:from>
        <xdr:to>
          <xdr:col>9</xdr:col>
          <xdr:colOff>601980</xdr:colOff>
          <xdr:row>12</xdr:row>
          <xdr:rowOff>160020</xdr:rowOff>
        </xdr:to>
        <xdr:sp macro="" textlink="">
          <xdr:nvSpPr>
            <xdr:cNvPr id="2050" name="Scroll Bar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22860</xdr:rowOff>
        </xdr:from>
        <xdr:to>
          <xdr:col>9</xdr:col>
          <xdr:colOff>586740</xdr:colOff>
          <xdr:row>15</xdr:row>
          <xdr:rowOff>160020</xdr:rowOff>
        </xdr:to>
        <xdr:sp macro="" textlink="">
          <xdr:nvSpPr>
            <xdr:cNvPr id="2051" name="Scroll Bar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22860</xdr:rowOff>
        </xdr:from>
        <xdr:to>
          <xdr:col>9</xdr:col>
          <xdr:colOff>594360</xdr:colOff>
          <xdr:row>13</xdr:row>
          <xdr:rowOff>175260</xdr:rowOff>
        </xdr:to>
        <xdr:sp macro="" textlink="">
          <xdr:nvSpPr>
            <xdr:cNvPr id="2052" name="Scroll Bar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601980</xdr:colOff>
      <xdr:row>32</xdr:row>
      <xdr:rowOff>89535</xdr:rowOff>
    </xdr:from>
    <xdr:to>
      <xdr:col>10</xdr:col>
      <xdr:colOff>7620</xdr:colOff>
      <xdr:row>32</xdr:row>
      <xdr:rowOff>89535</xdr:rowOff>
    </xdr:to>
    <xdr:cxnSp macro="">
      <xdr:nvCxnSpPr>
        <xdr:cNvPr id="9" name="Straight Connector 8"/>
        <xdr:cNvCxnSpPr/>
      </xdr:nvCxnSpPr>
      <xdr:spPr>
        <a:xfrm flipV="1">
          <a:off x="601980" y="6177915"/>
          <a:ext cx="567690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44</xdr:row>
      <xdr:rowOff>106680</xdr:rowOff>
    </xdr:from>
    <xdr:to>
      <xdr:col>10</xdr:col>
      <xdr:colOff>7620</xdr:colOff>
      <xdr:row>44</xdr:row>
      <xdr:rowOff>121920</xdr:rowOff>
    </xdr:to>
    <xdr:cxnSp macro="">
      <xdr:nvCxnSpPr>
        <xdr:cNvPr id="10" name="Straight Connector 9"/>
        <xdr:cNvCxnSpPr/>
      </xdr:nvCxnSpPr>
      <xdr:spPr>
        <a:xfrm flipV="1">
          <a:off x="601980" y="7162800"/>
          <a:ext cx="650748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46</xdr:row>
      <xdr:rowOff>139407</xdr:rowOff>
    </xdr:from>
    <xdr:to>
      <xdr:col>10</xdr:col>
      <xdr:colOff>7620</xdr:colOff>
      <xdr:row>46</xdr:row>
      <xdr:rowOff>154647</xdr:rowOff>
    </xdr:to>
    <xdr:cxnSp macro="">
      <xdr:nvCxnSpPr>
        <xdr:cNvPr id="11" name="Straight Connector 10"/>
        <xdr:cNvCxnSpPr/>
      </xdr:nvCxnSpPr>
      <xdr:spPr>
        <a:xfrm flipV="1">
          <a:off x="601980" y="3926547"/>
          <a:ext cx="637794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38100</xdr:colOff>
          <xdr:row>17</xdr:row>
          <xdr:rowOff>30480</xdr:rowOff>
        </xdr:from>
        <xdr:to>
          <xdr:col>9</xdr:col>
          <xdr:colOff>609600</xdr:colOff>
          <xdr:row>17</xdr:row>
          <xdr:rowOff>152400</xdr:rowOff>
        </xdr:to>
        <xdr:sp macro="" textlink="">
          <xdr:nvSpPr>
            <xdr:cNvPr id="2056" name="Scroll Bar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39</xdr:row>
          <xdr:rowOff>22860</xdr:rowOff>
        </xdr:from>
        <xdr:to>
          <xdr:col>9</xdr:col>
          <xdr:colOff>601980</xdr:colOff>
          <xdr:row>39</xdr:row>
          <xdr:rowOff>175260</xdr:rowOff>
        </xdr:to>
        <xdr:sp macro="" textlink="">
          <xdr:nvSpPr>
            <xdr:cNvPr id="2057" name="Scroll Bar 9" hidden="1">
              <a:extLst>
                <a:ext uri="{63B3BB69-23CF-44E3-9099-C40C66FF867C}">
                  <a14:compatExt spid="_x0000_s205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xdr:row>
          <xdr:rowOff>22860</xdr:rowOff>
        </xdr:from>
        <xdr:to>
          <xdr:col>9</xdr:col>
          <xdr:colOff>594360</xdr:colOff>
          <xdr:row>10</xdr:row>
          <xdr:rowOff>175260</xdr:rowOff>
        </xdr:to>
        <xdr:sp macro="" textlink="">
          <xdr:nvSpPr>
            <xdr:cNvPr id="2058" name="Scroll Bar 10" hidden="1">
              <a:extLst>
                <a:ext uri="{63B3BB69-23CF-44E3-9099-C40C66FF867C}">
                  <a14:compatExt spid="_x0000_s205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15239</xdr:colOff>
      <xdr:row>53</xdr:row>
      <xdr:rowOff>107774</xdr:rowOff>
    </xdr:from>
    <xdr:to>
      <xdr:col>7</xdr:col>
      <xdr:colOff>0</xdr:colOff>
      <xdr:row>60</xdr:row>
      <xdr:rowOff>152400</xdr:rowOff>
    </xdr:to>
    <xdr:sp macro="" textlink="">
      <xdr:nvSpPr>
        <xdr:cNvPr id="13" name="TextBox 12"/>
        <xdr:cNvSpPr txBox="1"/>
      </xdr:nvSpPr>
      <xdr:spPr>
        <a:xfrm>
          <a:off x="624839" y="4877894"/>
          <a:ext cx="3840481" cy="1324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dk1"/>
              </a:solidFill>
              <a:effectLst/>
              <a:latin typeface="+mn-lt"/>
              <a:ea typeface="+mn-ea"/>
              <a:cs typeface="+mn-cs"/>
            </a:rPr>
            <a:t>Finance - </a:t>
          </a:r>
          <a:r>
            <a:rPr lang="en-US" sz="900" b="0" i="0" u="none" strike="noStrike">
              <a:solidFill>
                <a:schemeClr val="dk1"/>
              </a:solidFill>
              <a:effectLst/>
              <a:latin typeface="+mn-lt"/>
              <a:ea typeface="+mn-ea"/>
              <a:cs typeface="+mn-cs"/>
            </a:rPr>
            <a:t>This is the interest expense on a loan for the plane’s Cash Price.  Even if you pay cash for your airplane instead of borrowing money, inclusion of a financing cost in the Cost to Own is still appropriate to reflect the </a:t>
          </a:r>
          <a:r>
            <a:rPr lang="en-US" sz="900" b="0" i="0" u="none" strike="noStrike">
              <a:solidFill>
                <a:schemeClr val="tx1"/>
              </a:solidFill>
              <a:effectLst/>
              <a:latin typeface="+mn-lt"/>
              <a:ea typeface="+mn-ea"/>
              <a:cs typeface="+mn-cs"/>
            </a:rPr>
            <a:t>estimated "Opportunity </a:t>
          </a:r>
          <a:r>
            <a:rPr lang="en-US" sz="900" b="0" i="0" u="none" strike="noStrike">
              <a:solidFill>
                <a:schemeClr val="dk1"/>
              </a:solidFill>
              <a:effectLst/>
              <a:latin typeface="+mn-lt"/>
              <a:ea typeface="+mn-ea"/>
              <a:cs typeface="+mn-cs"/>
            </a:rPr>
            <a:t>Cost" of any monies paid down (i.e. the amount you might have earned, if you would have used or invested the amount paid elsewhere instead of purchasing your plane). We applied the rate of the Loan </a:t>
          </a:r>
          <a:r>
            <a:rPr lang="en-US" sz="900" b="0" i="0" u="none" strike="noStrike" baseline="0">
              <a:solidFill>
                <a:schemeClr val="dk1"/>
              </a:solidFill>
              <a:effectLst/>
              <a:latin typeface="+mn-lt"/>
              <a:ea typeface="+mn-ea"/>
              <a:cs typeface="+mn-cs"/>
            </a:rPr>
            <a:t>as the rate for the </a:t>
          </a:r>
          <a:r>
            <a:rPr lang="en-US" sz="900" b="0" i="0" u="none" strike="noStrike">
              <a:solidFill>
                <a:schemeClr val="dk1"/>
              </a:solidFill>
              <a:effectLst/>
              <a:latin typeface="+mn-lt"/>
              <a:ea typeface="+mn-ea"/>
              <a:cs typeface="+mn-cs"/>
            </a:rPr>
            <a:t>Opportunity Cost</a:t>
          </a:r>
          <a:r>
            <a:rPr lang="en-US" sz="900" b="0" i="0" u="none" strike="noStrike" baseline="0">
              <a:solidFill>
                <a:schemeClr val="dk1"/>
              </a:solidFill>
              <a:effectLst/>
              <a:latin typeface="+mn-lt"/>
              <a:ea typeface="+mn-ea"/>
              <a:cs typeface="+mn-cs"/>
            </a:rPr>
            <a:t>.  Then, the downpayment does not change financing costs, but does affect the tax deductible interest.</a:t>
          </a:r>
          <a:r>
            <a:rPr lang="en-US"/>
            <a:t/>
          </a:r>
          <a:br>
            <a:rPr lang="en-US"/>
          </a:br>
          <a:r>
            <a:rPr lang="en-US"/>
            <a:t/>
          </a:r>
          <a:br>
            <a:rPr lang="en-US"/>
          </a:br>
          <a:endParaRPr lang="en-US" sz="1100"/>
        </a:p>
      </xdr:txBody>
    </xdr:sp>
    <xdr:clientData/>
  </xdr:twoCellAnchor>
  <xdr:twoCellAnchor>
    <xdr:from>
      <xdr:col>1</xdr:col>
      <xdr:colOff>17929</xdr:colOff>
      <xdr:row>61</xdr:row>
      <xdr:rowOff>42133</xdr:rowOff>
    </xdr:from>
    <xdr:to>
      <xdr:col>7</xdr:col>
      <xdr:colOff>0</xdr:colOff>
      <xdr:row>63</xdr:row>
      <xdr:rowOff>63650</xdr:rowOff>
    </xdr:to>
    <xdr:sp macro="" textlink="">
      <xdr:nvSpPr>
        <xdr:cNvPr id="14" name="TextBox 13"/>
        <xdr:cNvSpPr txBox="1"/>
      </xdr:nvSpPr>
      <xdr:spPr>
        <a:xfrm>
          <a:off x="627529" y="6275293"/>
          <a:ext cx="3837791" cy="387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tx1"/>
              </a:solidFill>
              <a:latin typeface="+mn-lt"/>
              <a:ea typeface="+mn-ea"/>
              <a:cs typeface="+mn-cs"/>
            </a:rPr>
            <a:t>Operations - </a:t>
          </a:r>
          <a:r>
            <a:rPr lang="en-US" sz="900" b="0">
              <a:solidFill>
                <a:schemeClr val="tx1"/>
              </a:solidFill>
              <a:latin typeface="+mn-lt"/>
              <a:ea typeface="+mn-ea"/>
              <a:cs typeface="+mn-cs"/>
            </a:rPr>
            <a:t>Fuel &amp; Oil: Fuel use  est. 14 GPH. Maintenance &amp; Repair: est. 0.25 shop labor hrs. per flight hour.   Parts Costs estimated at 30% of Labor Costs.</a:t>
          </a:r>
        </a:p>
        <a:p>
          <a:pPr marL="0" marR="0" indent="0" defTabSz="914400" eaLnBrk="1" fontAlgn="auto" latinLnBrk="0" hangingPunct="1">
            <a:lnSpc>
              <a:spcPct val="100000"/>
            </a:lnSpc>
            <a:spcBef>
              <a:spcPts val="0"/>
            </a:spcBef>
            <a:spcAft>
              <a:spcPts val="0"/>
            </a:spcAft>
            <a:buClrTx/>
            <a:buSzTx/>
            <a:buFontTx/>
            <a:buNone/>
            <a:tabLst/>
            <a:defRPr/>
          </a:pPr>
          <a:endParaRPr lang="en-US" sz="900" b="0">
            <a:solidFill>
              <a:schemeClr val="tx1">
                <a:lumMod val="50000"/>
                <a:lumOff val="50000"/>
              </a:schemeClr>
            </a:solidFill>
            <a:latin typeface="+mn-lt"/>
            <a:ea typeface="+mn-ea"/>
            <a:cs typeface="+mn-cs"/>
          </a:endParaRPr>
        </a:p>
        <a:p>
          <a:endParaRPr lang="en-US" sz="1100"/>
        </a:p>
      </xdr:txBody>
    </xdr:sp>
    <xdr:clientData/>
  </xdr:twoCellAnchor>
  <xdr:twoCellAnchor>
    <xdr:from>
      <xdr:col>1</xdr:col>
      <xdr:colOff>8964</xdr:colOff>
      <xdr:row>63</xdr:row>
      <xdr:rowOff>99060</xdr:rowOff>
    </xdr:from>
    <xdr:to>
      <xdr:col>7</xdr:col>
      <xdr:colOff>0</xdr:colOff>
      <xdr:row>70</xdr:row>
      <xdr:rowOff>173457</xdr:rowOff>
    </xdr:to>
    <xdr:sp macro="" textlink="">
      <xdr:nvSpPr>
        <xdr:cNvPr id="15" name="TextBox 14"/>
        <xdr:cNvSpPr txBox="1"/>
      </xdr:nvSpPr>
      <xdr:spPr>
        <a:xfrm>
          <a:off x="618564" y="6697980"/>
          <a:ext cx="3846756" cy="1354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Depreciation and Replacement Reserves:</a:t>
          </a:r>
          <a:r>
            <a:rPr lang="en-US" sz="900" b="1" baseline="0"/>
            <a:t>  </a:t>
          </a:r>
          <a:r>
            <a:rPr lang="en-US" sz="900"/>
            <a:t>Plan to set aside money for replacement or overhaul, in a so-called depreciation fund. Depreciation is the difference between the new purchase price and estimated trade-in value.   Aircraft “blue book” data show the price of a 3-year old C-182T, declined on average 6% per year from its original new price while the plane with 420 hours of use.  From 'blue boook" data, predicted depreciation is calculated. Some owners plan for engine reserves only, thereby lowering the Depreciation component to as low as  $25/hr.  Left out were</a:t>
          </a:r>
          <a:r>
            <a:rPr lang="en-US" sz="900" baseline="0"/>
            <a:t> </a:t>
          </a:r>
          <a:r>
            <a:rPr lang="en-US" sz="900"/>
            <a:t>reserves for replacement price inflation which was 3% per yr for C-182T aircraft (01/01/2014).</a:t>
          </a:r>
        </a:p>
      </xdr:txBody>
    </xdr:sp>
    <xdr:clientData/>
  </xdr:twoCellAnchor>
  <xdr:twoCellAnchor>
    <xdr:from>
      <xdr:col>1</xdr:col>
      <xdr:colOff>19274</xdr:colOff>
      <xdr:row>72</xdr:row>
      <xdr:rowOff>17473</xdr:rowOff>
    </xdr:from>
    <xdr:to>
      <xdr:col>7</xdr:col>
      <xdr:colOff>0</xdr:colOff>
      <xdr:row>75</xdr:row>
      <xdr:rowOff>7620</xdr:rowOff>
    </xdr:to>
    <xdr:sp macro="" textlink="">
      <xdr:nvSpPr>
        <xdr:cNvPr id="16" name="TextBox 15"/>
        <xdr:cNvSpPr txBox="1"/>
      </xdr:nvSpPr>
      <xdr:spPr>
        <a:xfrm>
          <a:off x="628874" y="12582853"/>
          <a:ext cx="3828826" cy="561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tx1"/>
              </a:solidFill>
            </a:rPr>
            <a:t>Sales/Use Taxes</a:t>
          </a:r>
          <a:r>
            <a:rPr lang="en-US" sz="900" b="1" baseline="0">
              <a:solidFill>
                <a:schemeClr val="tx1"/>
              </a:solidFill>
            </a:rPr>
            <a:t> -</a:t>
          </a:r>
          <a:r>
            <a:rPr lang="en-US" sz="900" b="1">
              <a:solidFill>
                <a:schemeClr val="tx1"/>
              </a:solidFill>
            </a:rPr>
            <a:t> </a:t>
          </a:r>
          <a:r>
            <a:rPr lang="en-US" sz="900">
              <a:solidFill>
                <a:schemeClr val="tx1"/>
              </a:solidFill>
            </a:rPr>
            <a:t>With some  planning, sales taxes may be avoided</a:t>
          </a:r>
          <a:r>
            <a:rPr lang="en-US" sz="900" baseline="0">
              <a:solidFill>
                <a:schemeClr val="tx1"/>
              </a:solidFill>
            </a:rPr>
            <a:t> </a:t>
          </a:r>
          <a:r>
            <a:rPr lang="en-US" sz="900">
              <a:solidFill>
                <a:schemeClr val="tx1"/>
              </a:solidFill>
            </a:rPr>
            <a:t>at the time  of purchase (CA.). </a:t>
          </a:r>
          <a:r>
            <a:rPr lang="en-US" sz="900" b="1">
              <a:solidFill>
                <a:schemeClr val="tx1"/>
              </a:solidFill>
              <a:latin typeface="+mn-lt"/>
              <a:ea typeface="+mn-ea"/>
              <a:cs typeface="+mn-cs"/>
            </a:rPr>
            <a:t>Property Taxes </a:t>
          </a:r>
          <a:r>
            <a:rPr lang="en-US" sz="900" b="1" baseline="0">
              <a:solidFill>
                <a:schemeClr val="tx1"/>
              </a:solidFill>
              <a:latin typeface="+mn-lt"/>
              <a:ea typeface="+mn-ea"/>
              <a:cs typeface="+mn-cs"/>
            </a:rPr>
            <a:t> - </a:t>
          </a:r>
          <a:r>
            <a:rPr lang="en-US" sz="900" b="0">
              <a:solidFill>
                <a:schemeClr val="tx1"/>
              </a:solidFill>
              <a:latin typeface="+mn-lt"/>
              <a:ea typeface="+mn-ea"/>
              <a:cs typeface="+mn-cs"/>
            </a:rPr>
            <a:t>1.10% of the aircraft market at KPAO airport.       </a:t>
          </a:r>
        </a:p>
        <a:p>
          <a:endParaRPr lang="en-US" sz="900"/>
        </a:p>
      </xdr:txBody>
    </xdr:sp>
    <xdr:clientData/>
  </xdr:twoCellAnchor>
  <xdr:twoCellAnchor>
    <xdr:from>
      <xdr:col>1</xdr:col>
      <xdr:colOff>22860</xdr:colOff>
      <xdr:row>50</xdr:row>
      <xdr:rowOff>15240</xdr:rowOff>
    </xdr:from>
    <xdr:to>
      <xdr:col>7</xdr:col>
      <xdr:colOff>15240</xdr:colOff>
      <xdr:row>53</xdr:row>
      <xdr:rowOff>38100</xdr:rowOff>
    </xdr:to>
    <xdr:sp macro="" textlink="">
      <xdr:nvSpPr>
        <xdr:cNvPr id="2" name="TextBox 1"/>
        <xdr:cNvSpPr txBox="1"/>
      </xdr:nvSpPr>
      <xdr:spPr>
        <a:xfrm>
          <a:off x="632460" y="4236720"/>
          <a:ext cx="38481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Cost Components</a:t>
          </a:r>
          <a:r>
            <a:rPr lang="en-US" sz="900" b="1" baseline="0"/>
            <a:t>  </a:t>
          </a:r>
          <a:r>
            <a:rPr lang="en-US" sz="900" b="0" baseline="0"/>
            <a:t>considered are</a:t>
          </a:r>
          <a:r>
            <a:rPr lang="en-US" sz="900" b="0" i="0" u="none" strike="noStrike">
              <a:solidFill>
                <a:schemeClr val="dk1"/>
              </a:solidFill>
              <a:effectLst/>
              <a:latin typeface="+mn-lt"/>
              <a:ea typeface="+mn-ea"/>
              <a:cs typeface="+mn-cs"/>
            </a:rPr>
            <a:t> Finance, Maintenance &amp; Repair, Electronic Serviecs, Insurance, Depreciation/Reserves, Parking, Admin Fees.</a:t>
          </a:r>
        </a:p>
      </xdr:txBody>
    </xdr:sp>
    <xdr:clientData/>
  </xdr:twoCellAnchor>
  <xdr:twoCellAnchor>
    <xdr:from>
      <xdr:col>0</xdr:col>
      <xdr:colOff>7620</xdr:colOff>
      <xdr:row>4</xdr:row>
      <xdr:rowOff>0</xdr:rowOff>
    </xdr:from>
    <xdr:to>
      <xdr:col>11</xdr:col>
      <xdr:colOff>0</xdr:colOff>
      <xdr:row>4</xdr:row>
      <xdr:rowOff>0</xdr:rowOff>
    </xdr:to>
    <xdr:cxnSp macro="">
      <xdr:nvCxnSpPr>
        <xdr:cNvPr id="4" name="Straight Connector 3"/>
        <xdr:cNvCxnSpPr/>
      </xdr:nvCxnSpPr>
      <xdr:spPr>
        <a:xfrm>
          <a:off x="7620" y="952500"/>
          <a:ext cx="6880860" cy="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22860</xdr:colOff>
          <xdr:row>17</xdr:row>
          <xdr:rowOff>22860</xdr:rowOff>
        </xdr:from>
        <xdr:to>
          <xdr:col>9</xdr:col>
          <xdr:colOff>594360</xdr:colOff>
          <xdr:row>17</xdr:row>
          <xdr:rowOff>175260</xdr:rowOff>
        </xdr:to>
        <xdr:sp macro="" textlink="">
          <xdr:nvSpPr>
            <xdr:cNvPr id="2060" name="Scroll Bar 12" hidden="1">
              <a:extLst>
                <a:ext uri="{63B3BB69-23CF-44E3-9099-C40C66FF867C}">
                  <a14:compatExt spid="_x0000_s206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34</xdr:row>
          <xdr:rowOff>22860</xdr:rowOff>
        </xdr:from>
        <xdr:to>
          <xdr:col>9</xdr:col>
          <xdr:colOff>609600</xdr:colOff>
          <xdr:row>39</xdr:row>
          <xdr:rowOff>152400</xdr:rowOff>
        </xdr:to>
        <xdr:sp macro="" textlink="">
          <xdr:nvSpPr>
            <xdr:cNvPr id="2061" name="Scroll Bar 13" hidden="1">
              <a:extLst>
                <a:ext uri="{63B3BB69-23CF-44E3-9099-C40C66FF867C}">
                  <a14:compatExt spid="_x0000_s206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601980</xdr:colOff>
      <xdr:row>44</xdr:row>
      <xdr:rowOff>106680</xdr:rowOff>
    </xdr:from>
    <xdr:to>
      <xdr:col>10</xdr:col>
      <xdr:colOff>7620</xdr:colOff>
      <xdr:row>44</xdr:row>
      <xdr:rowOff>121920</xdr:rowOff>
    </xdr:to>
    <xdr:cxnSp macro="">
      <xdr:nvCxnSpPr>
        <xdr:cNvPr id="20" name="Straight Connector 19"/>
        <xdr:cNvCxnSpPr/>
      </xdr:nvCxnSpPr>
      <xdr:spPr>
        <a:xfrm flipV="1">
          <a:off x="601980" y="8473440"/>
          <a:ext cx="571500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38</xdr:row>
      <xdr:rowOff>50098</xdr:rowOff>
    </xdr:from>
    <xdr:to>
      <xdr:col>10</xdr:col>
      <xdr:colOff>7620</xdr:colOff>
      <xdr:row>38</xdr:row>
      <xdr:rowOff>65338</xdr:rowOff>
    </xdr:to>
    <xdr:cxnSp macro="">
      <xdr:nvCxnSpPr>
        <xdr:cNvPr id="22" name="Straight Connector 21"/>
        <xdr:cNvCxnSpPr/>
      </xdr:nvCxnSpPr>
      <xdr:spPr>
        <a:xfrm flipV="1">
          <a:off x="601980" y="7273858"/>
          <a:ext cx="571500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30480</xdr:colOff>
          <xdr:row>39</xdr:row>
          <xdr:rowOff>30480</xdr:rowOff>
        </xdr:from>
        <xdr:to>
          <xdr:col>9</xdr:col>
          <xdr:colOff>609600</xdr:colOff>
          <xdr:row>39</xdr:row>
          <xdr:rowOff>167640</xdr:rowOff>
        </xdr:to>
        <xdr:sp macro="" textlink="">
          <xdr:nvSpPr>
            <xdr:cNvPr id="2062" name="Scroll Bar 14" hidden="1">
              <a:extLst>
                <a:ext uri="{63B3BB69-23CF-44E3-9099-C40C66FF867C}">
                  <a14:compatExt spid="_x0000_s206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0</xdr:colOff>
      <xdr:row>43</xdr:row>
      <xdr:rowOff>167640</xdr:rowOff>
    </xdr:from>
    <xdr:to>
      <xdr:col>10</xdr:col>
      <xdr:colOff>30480</xdr:colOff>
      <xdr:row>43</xdr:row>
      <xdr:rowOff>167640</xdr:rowOff>
    </xdr:to>
    <xdr:cxnSp macro="">
      <xdr:nvCxnSpPr>
        <xdr:cNvPr id="24" name="Straight Connector 23"/>
        <xdr:cNvCxnSpPr/>
      </xdr:nvCxnSpPr>
      <xdr:spPr>
        <a:xfrm>
          <a:off x="609600" y="8343900"/>
          <a:ext cx="573024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35</xdr:row>
      <xdr:rowOff>89535</xdr:rowOff>
    </xdr:from>
    <xdr:to>
      <xdr:col>10</xdr:col>
      <xdr:colOff>15240</xdr:colOff>
      <xdr:row>35</xdr:row>
      <xdr:rowOff>89535</xdr:rowOff>
    </xdr:to>
    <xdr:cxnSp macro="">
      <xdr:nvCxnSpPr>
        <xdr:cNvPr id="25" name="Straight Connector 24"/>
        <xdr:cNvCxnSpPr/>
      </xdr:nvCxnSpPr>
      <xdr:spPr>
        <a:xfrm>
          <a:off x="601980" y="6741795"/>
          <a:ext cx="572262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38</xdr:row>
      <xdr:rowOff>50098</xdr:rowOff>
    </xdr:from>
    <xdr:to>
      <xdr:col>10</xdr:col>
      <xdr:colOff>7620</xdr:colOff>
      <xdr:row>38</xdr:row>
      <xdr:rowOff>65338</xdr:rowOff>
    </xdr:to>
    <xdr:cxnSp macro="">
      <xdr:nvCxnSpPr>
        <xdr:cNvPr id="26" name="Straight Connector 25"/>
        <xdr:cNvCxnSpPr/>
      </xdr:nvCxnSpPr>
      <xdr:spPr>
        <a:xfrm flipV="1">
          <a:off x="601980" y="7273858"/>
          <a:ext cx="571500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48</xdr:row>
      <xdr:rowOff>108927</xdr:rowOff>
    </xdr:from>
    <xdr:to>
      <xdr:col>10</xdr:col>
      <xdr:colOff>7620</xdr:colOff>
      <xdr:row>48</xdr:row>
      <xdr:rowOff>124167</xdr:rowOff>
    </xdr:to>
    <xdr:cxnSp macro="">
      <xdr:nvCxnSpPr>
        <xdr:cNvPr id="28" name="Straight Connector 27"/>
        <xdr:cNvCxnSpPr/>
      </xdr:nvCxnSpPr>
      <xdr:spPr>
        <a:xfrm flipV="1">
          <a:off x="601980" y="9237687"/>
          <a:ext cx="571500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xdr:colOff>
          <xdr:row>17</xdr:row>
          <xdr:rowOff>38100</xdr:rowOff>
        </xdr:from>
        <xdr:to>
          <xdr:col>9</xdr:col>
          <xdr:colOff>579120</xdr:colOff>
          <xdr:row>17</xdr:row>
          <xdr:rowOff>175260</xdr:rowOff>
        </xdr:to>
        <xdr:sp macro="" textlink="">
          <xdr:nvSpPr>
            <xdr:cNvPr id="1047" name="Scroll Bar 23" hidden="1">
              <a:extLst>
                <a:ext uri="{63B3BB69-23CF-44E3-9099-C40C66FF867C}">
                  <a14:compatExt spid="_x0000_s104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18</xdr:row>
          <xdr:rowOff>22860</xdr:rowOff>
        </xdr:from>
        <xdr:to>
          <xdr:col>9</xdr:col>
          <xdr:colOff>571500</xdr:colOff>
          <xdr:row>18</xdr:row>
          <xdr:rowOff>167640</xdr:rowOff>
        </xdr:to>
        <xdr:sp macro="" textlink="">
          <xdr:nvSpPr>
            <xdr:cNvPr id="1048" name="Scroll Bar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38100</xdr:rowOff>
        </xdr:from>
        <xdr:to>
          <xdr:col>9</xdr:col>
          <xdr:colOff>579120</xdr:colOff>
          <xdr:row>12</xdr:row>
          <xdr:rowOff>160019</xdr:rowOff>
        </xdr:to>
        <xdr:sp macro="" textlink="">
          <xdr:nvSpPr>
            <xdr:cNvPr id="1049" name="Scroll Bar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15</xdr:row>
          <xdr:rowOff>38100</xdr:rowOff>
        </xdr:from>
        <xdr:to>
          <xdr:col>9</xdr:col>
          <xdr:colOff>579120</xdr:colOff>
          <xdr:row>15</xdr:row>
          <xdr:rowOff>175260</xdr:rowOff>
        </xdr:to>
        <xdr:sp macro="" textlink="">
          <xdr:nvSpPr>
            <xdr:cNvPr id="1050" name="Scroll Bar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37514</xdr:rowOff>
        </xdr:from>
        <xdr:to>
          <xdr:col>9</xdr:col>
          <xdr:colOff>571500</xdr:colOff>
          <xdr:row>10</xdr:row>
          <xdr:rowOff>160020</xdr:rowOff>
        </xdr:to>
        <xdr:sp macro="" textlink="">
          <xdr:nvSpPr>
            <xdr:cNvPr id="1051" name="Scroll Bar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34</xdr:row>
          <xdr:rowOff>22860</xdr:rowOff>
        </xdr:from>
        <xdr:to>
          <xdr:col>9</xdr:col>
          <xdr:colOff>579120</xdr:colOff>
          <xdr:row>34</xdr:row>
          <xdr:rowOff>175260</xdr:rowOff>
        </xdr:to>
        <xdr:sp macro="" textlink="">
          <xdr:nvSpPr>
            <xdr:cNvPr id="1056" name="Scroll Bar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15239</xdr:colOff>
      <xdr:row>53</xdr:row>
      <xdr:rowOff>69674</xdr:rowOff>
    </xdr:from>
    <xdr:to>
      <xdr:col>7</xdr:col>
      <xdr:colOff>0</xdr:colOff>
      <xdr:row>58</xdr:row>
      <xdr:rowOff>137160</xdr:rowOff>
    </xdr:to>
    <xdr:sp macro="" textlink="">
      <xdr:nvSpPr>
        <xdr:cNvPr id="3" name="TextBox 2"/>
        <xdr:cNvSpPr txBox="1"/>
      </xdr:nvSpPr>
      <xdr:spPr>
        <a:xfrm>
          <a:off x="624839" y="10150934"/>
          <a:ext cx="3924301" cy="1019986"/>
        </a:xfrm>
        <a:prstGeom prst="rect">
          <a:avLst/>
        </a:prstGeom>
        <a:solidFill>
          <a:srgbClr val="F6F6F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dk1"/>
              </a:solidFill>
              <a:effectLst/>
              <a:latin typeface="+mn-lt"/>
              <a:ea typeface="+mn-ea"/>
              <a:cs typeface="+mn-cs"/>
            </a:rPr>
            <a:t>Finance - </a:t>
          </a:r>
          <a:r>
            <a:rPr lang="en-US" sz="900" b="0" i="0" u="none" strike="noStrike">
              <a:solidFill>
                <a:schemeClr val="dk1"/>
              </a:solidFill>
              <a:effectLst/>
              <a:latin typeface="+mn-lt"/>
              <a:ea typeface="+mn-ea"/>
              <a:cs typeface="+mn-cs"/>
            </a:rPr>
            <a:t>This is the interest expense on a loan for the plane’s Cash Price.  Even if you pay cash for your airplane instead of borrowing money, inclusion of a financing cost in the Cost to Own is still appropriate to reflect the estimated "Opportunity Cost" of any monies paid down (i.e. the amount you might have earned, if you would have used or invested the amount paid elsewhere instead of purchasing your plane).  </a:t>
          </a:r>
          <a:r>
            <a:rPr lang="en-US" sz="900" b="0" i="0" u="none" strike="noStrike" baseline="0">
              <a:solidFill>
                <a:schemeClr val="dk1"/>
              </a:solidFill>
              <a:effectLst/>
              <a:latin typeface="+mn-lt"/>
              <a:ea typeface="+mn-ea"/>
              <a:cs typeface="+mn-cs"/>
            </a:rPr>
            <a:t>But only the interest for a loan can be tax deductible.</a:t>
          </a:r>
          <a:r>
            <a:rPr lang="en-US"/>
            <a:t/>
          </a:r>
          <a:br>
            <a:rPr lang="en-US"/>
          </a:br>
          <a:r>
            <a:rPr lang="en-US"/>
            <a:t/>
          </a:r>
          <a:br>
            <a:rPr lang="en-US"/>
          </a:br>
          <a:endParaRPr lang="en-US" sz="1100"/>
        </a:p>
      </xdr:txBody>
    </xdr:sp>
    <xdr:clientData/>
  </xdr:twoCellAnchor>
  <xdr:twoCellAnchor>
    <xdr:from>
      <xdr:col>1</xdr:col>
      <xdr:colOff>10309</xdr:colOff>
      <xdr:row>59</xdr:row>
      <xdr:rowOff>64993</xdr:rowOff>
    </xdr:from>
    <xdr:to>
      <xdr:col>6</xdr:col>
      <xdr:colOff>754380</xdr:colOff>
      <xdr:row>61</xdr:row>
      <xdr:rowOff>99060</xdr:rowOff>
    </xdr:to>
    <xdr:sp macro="" textlink="">
      <xdr:nvSpPr>
        <xdr:cNvPr id="5" name="TextBox 4"/>
        <xdr:cNvSpPr txBox="1"/>
      </xdr:nvSpPr>
      <xdr:spPr>
        <a:xfrm>
          <a:off x="619909" y="11289253"/>
          <a:ext cx="3921611" cy="415067"/>
        </a:xfrm>
        <a:prstGeom prst="rect">
          <a:avLst/>
        </a:prstGeom>
        <a:solidFill>
          <a:srgbClr val="F6F6F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t>Operations</a:t>
          </a:r>
          <a:r>
            <a:rPr lang="en-US" sz="900" b="1" baseline="0"/>
            <a:t> - </a:t>
          </a:r>
          <a:r>
            <a:rPr lang="en-US" sz="900" b="1"/>
            <a:t>Fuel &amp; Oil</a:t>
          </a:r>
          <a:r>
            <a:rPr lang="en-US" sz="900" b="0"/>
            <a:t>:</a:t>
          </a:r>
          <a:r>
            <a:rPr lang="en-US" sz="900" b="0" baseline="0"/>
            <a:t> </a:t>
          </a:r>
          <a:r>
            <a:rPr lang="en-US" sz="900"/>
            <a:t>Fuel</a:t>
          </a:r>
          <a:r>
            <a:rPr lang="en-US" sz="900" baseline="0"/>
            <a:t> </a:t>
          </a:r>
          <a:r>
            <a:rPr lang="en-US" sz="900"/>
            <a:t>use  est. 14 GPH. </a:t>
          </a:r>
          <a:r>
            <a:rPr lang="en-US" sz="900" b="1">
              <a:solidFill>
                <a:schemeClr val="dk1"/>
              </a:solidFill>
              <a:effectLst/>
              <a:latin typeface="+mn-lt"/>
              <a:ea typeface="+mn-ea"/>
              <a:cs typeface="+mn-cs"/>
            </a:rPr>
            <a:t>Maintenance &amp; Repair: </a:t>
          </a:r>
          <a:r>
            <a:rPr lang="en-US" sz="900" b="0">
              <a:solidFill>
                <a:schemeClr val="dk1"/>
              </a:solidFill>
              <a:effectLst/>
              <a:latin typeface="+mn-lt"/>
              <a:ea typeface="+mn-ea"/>
              <a:cs typeface="+mn-cs"/>
            </a:rPr>
            <a:t>est. </a:t>
          </a:r>
          <a:r>
            <a:rPr lang="en-US" sz="900">
              <a:solidFill>
                <a:schemeClr val="dk1"/>
              </a:solidFill>
              <a:effectLst/>
              <a:latin typeface="+mn-lt"/>
              <a:ea typeface="+mn-ea"/>
              <a:cs typeface="+mn-cs"/>
            </a:rPr>
            <a:t>0.2545 shop labor hrs. per flight hour.   Parts Costs estimated at 30% of Labor Costs.</a:t>
          </a:r>
          <a:endParaRPr lang="en-US" sz="900">
            <a:effectLst/>
          </a:endParaRPr>
        </a:p>
        <a:p>
          <a:endParaRPr lang="en-US" sz="1000"/>
        </a:p>
        <a:p>
          <a:endParaRPr lang="en-US" sz="1100"/>
        </a:p>
      </xdr:txBody>
    </xdr:sp>
    <xdr:clientData/>
  </xdr:twoCellAnchor>
  <xdr:twoCellAnchor>
    <xdr:from>
      <xdr:col>1</xdr:col>
      <xdr:colOff>15240</xdr:colOff>
      <xdr:row>62</xdr:row>
      <xdr:rowOff>38100</xdr:rowOff>
    </xdr:from>
    <xdr:to>
      <xdr:col>7</xdr:col>
      <xdr:colOff>0</xdr:colOff>
      <xdr:row>71</xdr:row>
      <xdr:rowOff>60960</xdr:rowOff>
    </xdr:to>
    <xdr:sp macro="" textlink="">
      <xdr:nvSpPr>
        <xdr:cNvPr id="8" name="TextBox 7"/>
        <xdr:cNvSpPr txBox="1"/>
      </xdr:nvSpPr>
      <xdr:spPr>
        <a:xfrm>
          <a:off x="624840" y="11833860"/>
          <a:ext cx="3924300" cy="1737360"/>
        </a:xfrm>
        <a:prstGeom prst="rect">
          <a:avLst/>
        </a:prstGeom>
        <a:solidFill>
          <a:srgbClr val="F6F6F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t>Depreciation and Replacement:</a:t>
          </a:r>
          <a:r>
            <a:rPr lang="en-US" sz="900" b="1" baseline="0"/>
            <a:t>  </a:t>
          </a:r>
          <a:r>
            <a:rPr lang="en-US" sz="900"/>
            <a:t>Plan to set aside money for replacement or overhaul, in a so-called depreciation fund.  Depreciation is the difference between the new purchase price and estimated trade-in value.   Aircraft “blue book” data show the price of a 3-year old C-182T, declined on average 6% per year from its original new price while the plane had 420  hours of use.  From 'blue book" data, predicted depreciation is calculated. Some owners plan for </a:t>
          </a:r>
          <a:r>
            <a:rPr lang="en-US" sz="900">
              <a:solidFill>
                <a:schemeClr val="dk1"/>
              </a:solidFill>
              <a:latin typeface="+mn-lt"/>
              <a:ea typeface="+mn-ea"/>
              <a:cs typeface="+mn-cs"/>
            </a:rPr>
            <a:t>engine</a:t>
          </a:r>
          <a:r>
            <a:rPr lang="en-US" sz="900"/>
            <a:t> reserves only, thereby lowering the Depreciation component to as low as  $25/hr</a:t>
          </a:r>
          <a:r>
            <a:rPr lang="en-US" sz="900">
              <a:solidFill>
                <a:schemeClr val="dk1"/>
              </a:solidFill>
              <a:latin typeface="+mn-lt"/>
              <a:ea typeface="+mn-ea"/>
              <a:cs typeface="+mn-cs"/>
            </a:rPr>
            <a:t>.  Left out were reserves for </a:t>
          </a:r>
          <a:r>
            <a:rPr lang="en-US" sz="900" baseline="0">
              <a:solidFill>
                <a:schemeClr val="dk1"/>
              </a:solidFill>
              <a:latin typeface="+mn-lt"/>
              <a:ea typeface="+mn-ea"/>
              <a:cs typeface="+mn-cs"/>
            </a:rPr>
            <a:t> </a:t>
          </a:r>
          <a:r>
            <a:rPr lang="en-US" sz="900">
              <a:solidFill>
                <a:schemeClr val="dk1"/>
              </a:solidFill>
              <a:latin typeface="+mn-lt"/>
              <a:ea typeface="+mn-ea"/>
              <a:cs typeface="+mn-cs"/>
            </a:rPr>
            <a:t>replacement price inflation which averaged 3% per yr  over 3 years for new C-182 aircraft.</a:t>
          </a:r>
          <a:r>
            <a:rPr lang="en-US" sz="900" baseline="0">
              <a:solidFill>
                <a:schemeClr val="dk1"/>
              </a:solidFill>
              <a:latin typeface="+mn-lt"/>
              <a:ea typeface="+mn-ea"/>
              <a:cs typeface="+mn-cs"/>
            </a:rPr>
            <a:t> </a:t>
          </a:r>
          <a:r>
            <a:rPr lang="en-US" sz="900">
              <a:solidFill>
                <a:schemeClr val="dk1"/>
              </a:solidFill>
              <a:latin typeface="+mn-lt"/>
              <a:ea typeface="+mn-ea"/>
              <a:cs typeface="+mn-cs"/>
            </a:rPr>
            <a:t>(01/01/2014).</a:t>
          </a:r>
        </a:p>
      </xdr:txBody>
    </xdr:sp>
    <xdr:clientData/>
  </xdr:twoCellAnchor>
  <xdr:twoCellAnchor>
    <xdr:from>
      <xdr:col>1</xdr:col>
      <xdr:colOff>11654</xdr:colOff>
      <xdr:row>71</xdr:row>
      <xdr:rowOff>185113</xdr:rowOff>
    </xdr:from>
    <xdr:to>
      <xdr:col>6</xdr:col>
      <xdr:colOff>754380</xdr:colOff>
      <xdr:row>75</xdr:row>
      <xdr:rowOff>30480</xdr:rowOff>
    </xdr:to>
    <xdr:sp macro="" textlink="">
      <xdr:nvSpPr>
        <xdr:cNvPr id="10" name="TextBox 9"/>
        <xdr:cNvSpPr txBox="1"/>
      </xdr:nvSpPr>
      <xdr:spPr>
        <a:xfrm>
          <a:off x="621254" y="13695373"/>
          <a:ext cx="3920266" cy="607367"/>
        </a:xfrm>
        <a:prstGeom prst="rect">
          <a:avLst/>
        </a:prstGeom>
        <a:solidFill>
          <a:srgbClr val="F6F6F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t>Sales/Use Taxes</a:t>
          </a:r>
          <a:r>
            <a:rPr lang="en-US" sz="900" b="1" baseline="0"/>
            <a:t> -</a:t>
          </a:r>
          <a:r>
            <a:rPr lang="en-US" sz="900" b="1"/>
            <a:t> </a:t>
          </a:r>
          <a:r>
            <a:rPr lang="en-US" sz="900"/>
            <a:t>With some  planning, sales taxes may be avoided</a:t>
          </a:r>
          <a:r>
            <a:rPr lang="en-US" sz="900" baseline="0"/>
            <a:t> </a:t>
          </a:r>
          <a:r>
            <a:rPr lang="en-US" sz="900"/>
            <a:t>at the time  of purchase (CA.). </a:t>
          </a:r>
          <a:r>
            <a:rPr lang="en-US" sz="900" b="1">
              <a:solidFill>
                <a:schemeClr val="dk1"/>
              </a:solidFill>
              <a:latin typeface="+mn-lt"/>
              <a:ea typeface="+mn-ea"/>
              <a:cs typeface="+mn-cs"/>
            </a:rPr>
            <a:t>Property Taxes </a:t>
          </a:r>
          <a:r>
            <a:rPr lang="en-US" sz="900" b="1" baseline="0">
              <a:solidFill>
                <a:schemeClr val="dk1"/>
              </a:solidFill>
              <a:latin typeface="+mn-lt"/>
              <a:ea typeface="+mn-ea"/>
              <a:cs typeface="+mn-cs"/>
            </a:rPr>
            <a:t> - </a:t>
          </a:r>
          <a:r>
            <a:rPr lang="en-US" sz="900" b="0">
              <a:solidFill>
                <a:schemeClr val="dk1"/>
              </a:solidFill>
              <a:latin typeface="+mn-lt"/>
              <a:ea typeface="+mn-ea"/>
              <a:cs typeface="+mn-cs"/>
            </a:rPr>
            <a:t>1.10% of the aircraft market at KPAO airport.       </a:t>
          </a:r>
        </a:p>
        <a:p>
          <a:endParaRPr lang="en-US" sz="900"/>
        </a:p>
      </xdr:txBody>
    </xdr:sp>
    <xdr:clientData/>
  </xdr:twoCellAnchor>
  <xdr:twoCellAnchor>
    <xdr:from>
      <xdr:col>0</xdr:col>
      <xdr:colOff>601980</xdr:colOff>
      <xdr:row>32</xdr:row>
      <xdr:rowOff>89535</xdr:rowOff>
    </xdr:from>
    <xdr:to>
      <xdr:col>10</xdr:col>
      <xdr:colOff>7620</xdr:colOff>
      <xdr:row>32</xdr:row>
      <xdr:rowOff>89535</xdr:rowOff>
    </xdr:to>
    <xdr:cxnSp macro="">
      <xdr:nvCxnSpPr>
        <xdr:cNvPr id="4" name="Straight Connector 3"/>
        <xdr:cNvCxnSpPr/>
      </xdr:nvCxnSpPr>
      <xdr:spPr>
        <a:xfrm flipV="1">
          <a:off x="601980" y="3251835"/>
          <a:ext cx="611124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44</xdr:row>
      <xdr:rowOff>106680</xdr:rowOff>
    </xdr:from>
    <xdr:to>
      <xdr:col>10</xdr:col>
      <xdr:colOff>7620</xdr:colOff>
      <xdr:row>44</xdr:row>
      <xdr:rowOff>121920</xdr:rowOff>
    </xdr:to>
    <xdr:cxnSp macro="">
      <xdr:nvCxnSpPr>
        <xdr:cNvPr id="18" name="Straight Connector 17"/>
        <xdr:cNvCxnSpPr/>
      </xdr:nvCxnSpPr>
      <xdr:spPr>
        <a:xfrm flipV="1">
          <a:off x="601980" y="7277100"/>
          <a:ext cx="648462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46</xdr:row>
      <xdr:rowOff>108927</xdr:rowOff>
    </xdr:from>
    <xdr:to>
      <xdr:col>10</xdr:col>
      <xdr:colOff>7620</xdr:colOff>
      <xdr:row>46</xdr:row>
      <xdr:rowOff>124167</xdr:rowOff>
    </xdr:to>
    <xdr:cxnSp macro="">
      <xdr:nvCxnSpPr>
        <xdr:cNvPr id="19" name="Straight Connector 18"/>
        <xdr:cNvCxnSpPr/>
      </xdr:nvCxnSpPr>
      <xdr:spPr>
        <a:xfrm flipV="1">
          <a:off x="601980" y="6669747"/>
          <a:ext cx="650748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38</xdr:row>
      <xdr:rowOff>50098</xdr:rowOff>
    </xdr:from>
    <xdr:to>
      <xdr:col>10</xdr:col>
      <xdr:colOff>7620</xdr:colOff>
      <xdr:row>38</xdr:row>
      <xdr:rowOff>65338</xdr:rowOff>
    </xdr:to>
    <xdr:cxnSp macro="">
      <xdr:nvCxnSpPr>
        <xdr:cNvPr id="20" name="Straight Connector 19"/>
        <xdr:cNvCxnSpPr/>
      </xdr:nvCxnSpPr>
      <xdr:spPr>
        <a:xfrm flipV="1">
          <a:off x="601980" y="3997258"/>
          <a:ext cx="650748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45720</xdr:colOff>
          <xdr:row>13</xdr:row>
          <xdr:rowOff>30480</xdr:rowOff>
        </xdr:from>
        <xdr:to>
          <xdr:col>9</xdr:col>
          <xdr:colOff>579120</xdr:colOff>
          <xdr:row>13</xdr:row>
          <xdr:rowOff>167639</xdr:rowOff>
        </xdr:to>
        <xdr:sp macro="" textlink="">
          <xdr:nvSpPr>
            <xdr:cNvPr id="1057" name="Scroll Bar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39</xdr:row>
          <xdr:rowOff>30480</xdr:rowOff>
        </xdr:from>
        <xdr:to>
          <xdr:col>9</xdr:col>
          <xdr:colOff>579120</xdr:colOff>
          <xdr:row>39</xdr:row>
          <xdr:rowOff>167640</xdr:rowOff>
        </xdr:to>
        <xdr:sp macro="" textlink="">
          <xdr:nvSpPr>
            <xdr:cNvPr id="1060" name="Scroll Bar 36" hidden="1">
              <a:extLst>
                <a:ext uri="{63B3BB69-23CF-44E3-9099-C40C66FF867C}">
                  <a14:compatExt spid="_x0000_s106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14</xdr:row>
          <xdr:rowOff>30480</xdr:rowOff>
        </xdr:from>
        <xdr:to>
          <xdr:col>9</xdr:col>
          <xdr:colOff>571500</xdr:colOff>
          <xdr:row>14</xdr:row>
          <xdr:rowOff>167640</xdr:rowOff>
        </xdr:to>
        <xdr:sp macro="" textlink="">
          <xdr:nvSpPr>
            <xdr:cNvPr id="1061" name="Scroll Bar 37" hidden="1">
              <a:extLst>
                <a:ext uri="{63B3BB69-23CF-44E3-9099-C40C66FF867C}">
                  <a14:compatExt spid="_x0000_s106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4</xdr:row>
      <xdr:rowOff>0</xdr:rowOff>
    </xdr:from>
    <xdr:to>
      <xdr:col>11</xdr:col>
      <xdr:colOff>83820</xdr:colOff>
      <xdr:row>4</xdr:row>
      <xdr:rowOff>0</xdr:rowOff>
    </xdr:to>
    <xdr:cxnSp macro="">
      <xdr:nvCxnSpPr>
        <xdr:cNvPr id="6" name="Straight Connector 5"/>
        <xdr:cNvCxnSpPr/>
      </xdr:nvCxnSpPr>
      <xdr:spPr>
        <a:xfrm>
          <a:off x="0" y="762000"/>
          <a:ext cx="7399020" cy="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22860</xdr:colOff>
      <xdr:row>49</xdr:row>
      <xdr:rowOff>175260</xdr:rowOff>
    </xdr:from>
    <xdr:to>
      <xdr:col>7</xdr:col>
      <xdr:colOff>15240</xdr:colOff>
      <xdr:row>53</xdr:row>
      <xdr:rowOff>7620</xdr:rowOff>
    </xdr:to>
    <xdr:sp macro="" textlink="">
      <xdr:nvSpPr>
        <xdr:cNvPr id="21" name="TextBox 20"/>
        <xdr:cNvSpPr txBox="1"/>
      </xdr:nvSpPr>
      <xdr:spPr>
        <a:xfrm>
          <a:off x="632460" y="9494520"/>
          <a:ext cx="3855720" cy="594360"/>
        </a:xfrm>
        <a:prstGeom prst="rect">
          <a:avLst/>
        </a:prstGeom>
        <a:solidFill>
          <a:srgbClr val="F6F6F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Cost Components</a:t>
          </a:r>
          <a:r>
            <a:rPr lang="en-US" sz="900" b="1" baseline="0"/>
            <a:t>  </a:t>
          </a:r>
          <a:r>
            <a:rPr lang="en-US" sz="900" b="0" baseline="0"/>
            <a:t>considered are</a:t>
          </a:r>
          <a:r>
            <a:rPr lang="en-US" sz="900" b="0" i="0" u="none" strike="noStrike">
              <a:solidFill>
                <a:schemeClr val="dk1"/>
              </a:solidFill>
              <a:effectLst/>
              <a:latin typeface="+mn-lt"/>
              <a:ea typeface="+mn-ea"/>
              <a:cs typeface="+mn-cs"/>
            </a:rPr>
            <a:t> Finance, Maintenance &amp; Repair, Electronic Serviecs, Insurance, Depreciation/Reserves, Parking, Admin Fees.</a:t>
          </a:r>
        </a:p>
      </xdr:txBody>
    </xdr:sp>
    <xdr:clientData/>
  </xdr:twoCellAnchor>
  <xdr:twoCellAnchor>
    <xdr:from>
      <xdr:col>1</xdr:col>
      <xdr:colOff>0</xdr:colOff>
      <xdr:row>43</xdr:row>
      <xdr:rowOff>167640</xdr:rowOff>
    </xdr:from>
    <xdr:to>
      <xdr:col>10</xdr:col>
      <xdr:colOff>30480</xdr:colOff>
      <xdr:row>43</xdr:row>
      <xdr:rowOff>167640</xdr:rowOff>
    </xdr:to>
    <xdr:cxnSp macro="">
      <xdr:nvCxnSpPr>
        <xdr:cNvPr id="23" name="Straight Connector 22"/>
        <xdr:cNvCxnSpPr/>
      </xdr:nvCxnSpPr>
      <xdr:spPr>
        <a:xfrm>
          <a:off x="609600" y="8343900"/>
          <a:ext cx="573024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35</xdr:row>
      <xdr:rowOff>89535</xdr:rowOff>
    </xdr:from>
    <xdr:to>
      <xdr:col>10</xdr:col>
      <xdr:colOff>15240</xdr:colOff>
      <xdr:row>35</xdr:row>
      <xdr:rowOff>89535</xdr:rowOff>
    </xdr:to>
    <xdr:cxnSp macro="">
      <xdr:nvCxnSpPr>
        <xdr:cNvPr id="24" name="Straight Connector 23"/>
        <xdr:cNvCxnSpPr/>
      </xdr:nvCxnSpPr>
      <xdr:spPr>
        <a:xfrm>
          <a:off x="601980" y="6307455"/>
          <a:ext cx="601218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32</xdr:row>
      <xdr:rowOff>89535</xdr:rowOff>
    </xdr:from>
    <xdr:to>
      <xdr:col>10</xdr:col>
      <xdr:colOff>7620</xdr:colOff>
      <xdr:row>32</xdr:row>
      <xdr:rowOff>89535</xdr:rowOff>
    </xdr:to>
    <xdr:cxnSp macro="">
      <xdr:nvCxnSpPr>
        <xdr:cNvPr id="26" name="Straight Connector 25"/>
        <xdr:cNvCxnSpPr/>
      </xdr:nvCxnSpPr>
      <xdr:spPr>
        <a:xfrm flipV="1">
          <a:off x="601980" y="5941695"/>
          <a:ext cx="600456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38</xdr:row>
      <xdr:rowOff>50098</xdr:rowOff>
    </xdr:from>
    <xdr:to>
      <xdr:col>10</xdr:col>
      <xdr:colOff>7620</xdr:colOff>
      <xdr:row>38</xdr:row>
      <xdr:rowOff>65338</xdr:rowOff>
    </xdr:to>
    <xdr:cxnSp macro="">
      <xdr:nvCxnSpPr>
        <xdr:cNvPr id="27" name="Straight Connector 26"/>
        <xdr:cNvCxnSpPr/>
      </xdr:nvCxnSpPr>
      <xdr:spPr>
        <a:xfrm flipV="1">
          <a:off x="601980" y="6816658"/>
          <a:ext cx="600456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46</xdr:row>
      <xdr:rowOff>106680</xdr:rowOff>
    </xdr:from>
    <xdr:to>
      <xdr:col>10</xdr:col>
      <xdr:colOff>7620</xdr:colOff>
      <xdr:row>46</xdr:row>
      <xdr:rowOff>121920</xdr:rowOff>
    </xdr:to>
    <xdr:cxnSp macro="">
      <xdr:nvCxnSpPr>
        <xdr:cNvPr id="29" name="Straight Connector 28"/>
        <xdr:cNvCxnSpPr/>
      </xdr:nvCxnSpPr>
      <xdr:spPr>
        <a:xfrm flipV="1">
          <a:off x="601980" y="8336280"/>
          <a:ext cx="600456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48</xdr:row>
      <xdr:rowOff>108927</xdr:rowOff>
    </xdr:from>
    <xdr:to>
      <xdr:col>10</xdr:col>
      <xdr:colOff>7620</xdr:colOff>
      <xdr:row>48</xdr:row>
      <xdr:rowOff>124167</xdr:rowOff>
    </xdr:to>
    <xdr:cxnSp macro="">
      <xdr:nvCxnSpPr>
        <xdr:cNvPr id="30" name="Straight Connector 29"/>
        <xdr:cNvCxnSpPr/>
      </xdr:nvCxnSpPr>
      <xdr:spPr>
        <a:xfrm flipV="1">
          <a:off x="601980" y="8704287"/>
          <a:ext cx="6004560" cy="1524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76"/>
  <sheetViews>
    <sheetView showGridLines="0" tabSelected="1" topLeftCell="A55" workbookViewId="0">
      <selection activeCell="L76" sqref="L76"/>
    </sheetView>
  </sheetViews>
  <sheetFormatPr defaultRowHeight="15" customHeight="1" outlineLevelRow="1" x14ac:dyDescent="0.3"/>
  <cols>
    <col min="1" max="4" width="8.88671875" style="5"/>
    <col min="5" max="5" width="11.5546875" style="5" customWidth="1"/>
    <col min="6" max="6" width="8.88671875" style="5"/>
    <col min="7" max="7" width="9" style="5" customWidth="1"/>
    <col min="8" max="8" width="5.88671875" style="5" customWidth="1"/>
    <col min="9" max="9" width="11.5546875" style="5" customWidth="1"/>
    <col min="10" max="10" width="9" style="5" customWidth="1"/>
    <col min="11" max="11" width="8.88671875" style="5"/>
    <col min="12" max="12" width="9.33203125" style="5" customWidth="1"/>
    <col min="13" max="16384" width="8.88671875" style="5"/>
  </cols>
  <sheetData>
    <row r="1" spans="1:12" ht="15" customHeight="1" x14ac:dyDescent="0.5">
      <c r="A1" s="52"/>
      <c r="B1" s="4"/>
      <c r="C1" s="4"/>
      <c r="D1" s="4"/>
      <c r="E1" s="4"/>
      <c r="F1" s="4"/>
      <c r="G1" s="4"/>
      <c r="H1" s="4"/>
      <c r="I1" s="4"/>
      <c r="J1" s="2"/>
      <c r="K1" s="53"/>
      <c r="L1" s="54"/>
    </row>
    <row r="2" spans="1:12" ht="15" customHeight="1" x14ac:dyDescent="0.5">
      <c r="A2" s="52"/>
      <c r="B2" s="104" t="s">
        <v>44</v>
      </c>
      <c r="C2" s="103"/>
      <c r="D2" s="103"/>
      <c r="E2" s="103"/>
      <c r="F2" s="103"/>
      <c r="G2" s="103"/>
      <c r="H2" s="103"/>
      <c r="I2" s="103"/>
      <c r="J2" s="103"/>
      <c r="K2" s="53"/>
      <c r="L2" s="54"/>
    </row>
    <row r="3" spans="1:12" ht="15" customHeight="1" x14ac:dyDescent="0.5">
      <c r="A3" s="52"/>
      <c r="B3" s="103"/>
      <c r="C3" s="103"/>
      <c r="D3" s="103"/>
      <c r="E3" s="103"/>
      <c r="F3" s="103"/>
      <c r="G3" s="103"/>
      <c r="H3" s="103"/>
      <c r="I3" s="103"/>
      <c r="J3" s="103"/>
      <c r="K3" s="53"/>
      <c r="L3" s="54"/>
    </row>
    <row r="4" spans="1:12" ht="15" customHeight="1" x14ac:dyDescent="0.5">
      <c r="A4" s="52"/>
      <c r="B4" s="4"/>
      <c r="C4" s="4"/>
      <c r="D4" s="4"/>
      <c r="E4" s="4"/>
      <c r="F4" s="4"/>
      <c r="G4" s="4"/>
      <c r="H4" s="4"/>
      <c r="I4" s="4"/>
      <c r="J4" s="3"/>
      <c r="K4" s="53"/>
      <c r="L4" s="54"/>
    </row>
    <row r="5" spans="1:12" ht="15" customHeight="1" x14ac:dyDescent="0.5">
      <c r="A5" s="22"/>
      <c r="B5" s="1"/>
      <c r="C5" s="1"/>
      <c r="D5" s="1"/>
      <c r="E5" s="1"/>
      <c r="F5" s="1"/>
      <c r="G5" s="1"/>
      <c r="H5" s="1"/>
      <c r="I5" s="1"/>
      <c r="J5" s="1"/>
      <c r="K5" s="55"/>
      <c r="L5" s="54"/>
    </row>
    <row r="6" spans="1:12" ht="15" customHeight="1" x14ac:dyDescent="0.3">
      <c r="B6" s="99" t="s">
        <v>33</v>
      </c>
      <c r="C6" s="99"/>
      <c r="D6" s="99"/>
      <c r="E6" s="99"/>
      <c r="F6" s="99"/>
      <c r="G6" s="99"/>
      <c r="H6" s="99"/>
      <c r="I6" s="99"/>
      <c r="J6" s="99"/>
      <c r="L6" s="56" t="s">
        <v>17</v>
      </c>
    </row>
    <row r="7" spans="1:12" ht="14.4" customHeight="1" x14ac:dyDescent="0.3">
      <c r="B7" s="102" t="s">
        <v>36</v>
      </c>
      <c r="C7" s="102"/>
      <c r="D7" s="102"/>
      <c r="E7" s="102"/>
      <c r="F7" s="102"/>
      <c r="G7" s="102"/>
      <c r="H7" s="102"/>
      <c r="I7" s="102"/>
      <c r="J7" s="102"/>
      <c r="K7" s="102"/>
      <c r="L7" s="6"/>
    </row>
    <row r="9" spans="1:12" ht="15" customHeight="1" x14ac:dyDescent="0.3">
      <c r="E9" s="57"/>
      <c r="H9" s="114" t="s">
        <v>32</v>
      </c>
      <c r="I9" s="114"/>
      <c r="J9" s="114"/>
      <c r="L9" s="6"/>
    </row>
    <row r="10" spans="1:12" ht="15" customHeight="1" thickBot="1" x14ac:dyDescent="0.35">
      <c r="E10" s="57"/>
      <c r="H10" s="58" t="s">
        <v>10</v>
      </c>
      <c r="J10" s="58" t="s">
        <v>45</v>
      </c>
      <c r="L10" s="6"/>
    </row>
    <row r="11" spans="1:12" ht="15" customHeight="1" thickBot="1" x14ac:dyDescent="0.35">
      <c r="B11" s="37" t="s">
        <v>25</v>
      </c>
      <c r="C11" s="37"/>
      <c r="D11" s="37"/>
      <c r="E11" s="109">
        <f>L11*10000</f>
        <v>300000</v>
      </c>
      <c r="H11" s="23"/>
      <c r="I11" s="24"/>
      <c r="J11" s="24"/>
      <c r="K11" s="63"/>
      <c r="L11" s="64">
        <v>30</v>
      </c>
    </row>
    <row r="12" spans="1:12" ht="15" customHeight="1" thickBot="1" x14ac:dyDescent="0.35">
      <c r="B12" s="115"/>
      <c r="C12" s="115"/>
      <c r="D12" s="115"/>
      <c r="E12" s="65"/>
      <c r="H12" s="58" t="s">
        <v>11</v>
      </c>
      <c r="J12" s="116" t="s">
        <v>12</v>
      </c>
      <c r="K12" s="22"/>
    </row>
    <row r="13" spans="1:12" ht="15" customHeight="1" thickBot="1" x14ac:dyDescent="0.35">
      <c r="B13" s="37" t="s">
        <v>7</v>
      </c>
      <c r="C13" s="37"/>
      <c r="D13" s="37"/>
      <c r="E13" s="110">
        <f>L13*1</f>
        <v>35</v>
      </c>
      <c r="H13" s="23"/>
      <c r="I13" s="24"/>
      <c r="J13" s="24"/>
      <c r="K13" s="63"/>
      <c r="L13" s="68">
        <v>35</v>
      </c>
    </row>
    <row r="14" spans="1:12" s="117" customFormat="1" ht="15" customHeight="1" thickBot="1" x14ac:dyDescent="0.35">
      <c r="B14" s="37" t="s">
        <v>21</v>
      </c>
      <c r="C14" s="37"/>
      <c r="D14" s="37"/>
      <c r="E14" s="111">
        <f>L14/100</f>
        <v>0.2</v>
      </c>
      <c r="H14" s="118"/>
      <c r="I14" s="119"/>
      <c r="J14" s="119"/>
      <c r="K14" s="120"/>
      <c r="L14" s="121">
        <v>20</v>
      </c>
    </row>
    <row r="15" spans="1:12" ht="15" customHeight="1" thickBot="1" x14ac:dyDescent="0.35"/>
    <row r="16" spans="1:12" ht="15" customHeight="1" thickBot="1" x14ac:dyDescent="0.35">
      <c r="B16" s="37" t="s">
        <v>9</v>
      </c>
      <c r="C16" s="37"/>
      <c r="D16" s="37"/>
      <c r="E16" s="111">
        <f>L16/200</f>
        <v>0.05</v>
      </c>
      <c r="H16" s="23"/>
      <c r="I16" s="24"/>
      <c r="J16" s="24"/>
      <c r="K16" s="63"/>
      <c r="L16" s="73">
        <v>10</v>
      </c>
    </row>
    <row r="17" spans="2:22" s="117" customFormat="1" ht="15" customHeight="1" thickBot="1" x14ac:dyDescent="0.35">
      <c r="B17" s="37"/>
      <c r="C17" s="37"/>
      <c r="D17" s="37"/>
      <c r="E17" s="122"/>
      <c r="H17" s="123"/>
      <c r="I17" s="123"/>
      <c r="J17" s="123"/>
      <c r="K17" s="124"/>
      <c r="L17" s="121"/>
    </row>
    <row r="18" spans="2:22" ht="15" customHeight="1" thickBot="1" x14ac:dyDescent="0.35">
      <c r="B18" s="37" t="s">
        <v>5</v>
      </c>
      <c r="C18" s="37"/>
      <c r="D18" s="37"/>
      <c r="E18" s="112">
        <f>L18*0.25</f>
        <v>6</v>
      </c>
      <c r="H18" s="23"/>
      <c r="I18" s="24"/>
      <c r="J18" s="24"/>
      <c r="K18" s="63"/>
      <c r="L18" s="64">
        <v>24</v>
      </c>
    </row>
    <row r="19" spans="2:22" ht="15" customHeight="1" thickBot="1" x14ac:dyDescent="0.35">
      <c r="B19" s="37" t="s">
        <v>13</v>
      </c>
      <c r="C19" s="37"/>
      <c r="D19" s="37"/>
      <c r="E19" s="109">
        <f>L19*5</f>
        <v>100</v>
      </c>
      <c r="H19" s="23"/>
      <c r="I19" s="24"/>
      <c r="J19" s="24"/>
      <c r="K19" s="63"/>
      <c r="L19" s="64">
        <v>20</v>
      </c>
      <c r="V19" s="6">
        <v>17</v>
      </c>
    </row>
    <row r="20" spans="2:22" ht="15" customHeight="1" x14ac:dyDescent="0.3">
      <c r="B20" s="22"/>
      <c r="C20" s="22"/>
      <c r="D20" s="22"/>
    </row>
    <row r="21" spans="2:22" ht="15" customHeight="1" outlineLevel="1" x14ac:dyDescent="0.3">
      <c r="I21" s="78" t="s">
        <v>15</v>
      </c>
      <c r="J21" s="78" t="s">
        <v>16</v>
      </c>
      <c r="L21" s="79"/>
      <c r="O21" s="105"/>
    </row>
    <row r="22" spans="2:22" ht="15" customHeight="1" outlineLevel="1" x14ac:dyDescent="0.3">
      <c r="B22" s="7" t="s">
        <v>0</v>
      </c>
      <c r="C22" s="7"/>
      <c r="D22" s="7"/>
      <c r="E22" s="7"/>
      <c r="I22" s="8">
        <f>E15*E14*E11+E16*(1-E14)*E11</f>
        <v>12000.000000000002</v>
      </c>
      <c r="J22" s="9">
        <f>I22/(E13*12)</f>
        <v>28.571428571428577</v>
      </c>
      <c r="L22" s="80">
        <f>J22/J32</f>
        <v>0.1021523282750196</v>
      </c>
    </row>
    <row r="23" spans="2:22" ht="15" customHeight="1" outlineLevel="1" x14ac:dyDescent="0.3">
      <c r="B23" s="7" t="s">
        <v>1</v>
      </c>
      <c r="C23" s="7"/>
      <c r="D23" s="7"/>
      <c r="E23" s="7"/>
      <c r="I23" s="8">
        <f>J23*12*L13</f>
        <v>36027.600000000006</v>
      </c>
      <c r="J23" s="9">
        <f>14*E18+1.78</f>
        <v>85.78</v>
      </c>
      <c r="L23" s="80">
        <f>J23/J32</f>
        <v>0.3066919351800913</v>
      </c>
    </row>
    <row r="24" spans="2:22" ht="15" customHeight="1" outlineLevel="1" x14ac:dyDescent="0.3">
      <c r="B24" s="7" t="s">
        <v>2</v>
      </c>
      <c r="C24" s="7"/>
      <c r="D24" s="7"/>
      <c r="E24" s="7"/>
      <c r="I24" s="8">
        <f>J24*(12*E13)</f>
        <v>13895.7</v>
      </c>
      <c r="J24" s="9">
        <f>(0.2545*E19+0.3*(0.2545*E19))</f>
        <v>33.085000000000001</v>
      </c>
      <c r="L24" s="80">
        <f>J24/J32</f>
        <v>0.1182898423342658</v>
      </c>
    </row>
    <row r="25" spans="2:22" ht="15" customHeight="1" outlineLevel="1" x14ac:dyDescent="0.3">
      <c r="B25" s="7" t="s">
        <v>20</v>
      </c>
      <c r="C25" s="7"/>
      <c r="D25" s="7"/>
      <c r="E25" s="7"/>
      <c r="I25" s="8">
        <v>1806</v>
      </c>
      <c r="J25" s="9">
        <f>I25/(12*E13)</f>
        <v>4.3</v>
      </c>
      <c r="L25" s="80">
        <f>J25/J32</f>
        <v>1.5373925405390447E-2</v>
      </c>
    </row>
    <row r="26" spans="2:22" ht="15" customHeight="1" outlineLevel="1" x14ac:dyDescent="0.3">
      <c r="B26" s="7" t="s">
        <v>8</v>
      </c>
      <c r="C26" s="7"/>
      <c r="D26" s="7"/>
      <c r="E26" s="7"/>
      <c r="I26" s="8">
        <f>(2%*E11)+1100</f>
        <v>7100</v>
      </c>
      <c r="J26" s="9">
        <f>I26/(12*E13)</f>
        <v>16.904761904761905</v>
      </c>
      <c r="L26" s="80">
        <f>J26/J32</f>
        <v>6.0440127562719922E-2</v>
      </c>
    </row>
    <row r="27" spans="2:22" ht="15" customHeight="1" outlineLevel="1" x14ac:dyDescent="0.3">
      <c r="B27" s="7" t="s">
        <v>3</v>
      </c>
      <c r="C27" s="7"/>
      <c r="D27" s="7"/>
      <c r="E27" s="7"/>
      <c r="I27" s="8">
        <f>6%*E11</f>
        <v>18000</v>
      </c>
      <c r="J27" s="9">
        <f>I27/(12*E13)</f>
        <v>42.857142857142854</v>
      </c>
      <c r="L27" s="80">
        <f>J27/J32</f>
        <v>0.15322849241252937</v>
      </c>
    </row>
    <row r="28" spans="2:22" ht="15" customHeight="1" outlineLevel="1" x14ac:dyDescent="0.3">
      <c r="B28" s="7" t="s">
        <v>4</v>
      </c>
      <c r="C28" s="7"/>
      <c r="D28" s="7"/>
      <c r="E28" s="7"/>
      <c r="I28" s="8">
        <f>12*154</f>
        <v>1848</v>
      </c>
      <c r="J28" s="9">
        <f>I28/(12*E13)</f>
        <v>4.4000000000000004</v>
      </c>
      <c r="L28" s="80">
        <f>J28/J32</f>
        <v>1.5731458554353015E-2</v>
      </c>
    </row>
    <row r="29" spans="2:22" ht="15" customHeight="1" outlineLevel="1" x14ac:dyDescent="0.3">
      <c r="B29" s="7" t="s">
        <v>6</v>
      </c>
      <c r="C29" s="7"/>
      <c r="D29" s="7"/>
      <c r="E29" s="7"/>
      <c r="I29" s="8">
        <f>1.1%*E11</f>
        <v>3300.0000000000005</v>
      </c>
      <c r="J29" s="9">
        <f>I29/(12*E13)</f>
        <v>7.8571428571428585</v>
      </c>
      <c r="L29" s="80">
        <f>J29/J32</f>
        <v>2.8091890275630388E-2</v>
      </c>
    </row>
    <row r="30" spans="2:22" ht="15" customHeight="1" outlineLevel="1" x14ac:dyDescent="0.3">
      <c r="B30" s="7" t="s">
        <v>23</v>
      </c>
      <c r="C30" s="7"/>
      <c r="D30" s="7"/>
      <c r="E30" s="7"/>
      <c r="I30" s="8">
        <f>E13*12*J30</f>
        <v>23494.325000000004</v>
      </c>
      <c r="J30" s="9">
        <f>0.25*(SUM(J22:J29))</f>
        <v>55.938869047619058</v>
      </c>
      <c r="L30" s="80">
        <f>I30/I32</f>
        <v>0.20000000000000004</v>
      </c>
    </row>
    <row r="31" spans="2:22" ht="15" customHeight="1" outlineLevel="1" x14ac:dyDescent="0.3">
      <c r="B31" s="15"/>
      <c r="C31" s="15"/>
      <c r="D31" s="15"/>
      <c r="E31" s="15"/>
      <c r="J31" s="13"/>
      <c r="L31" s="6"/>
    </row>
    <row r="32" spans="2:22" ht="15" customHeight="1" x14ac:dyDescent="0.3">
      <c r="B32" s="37" t="s">
        <v>31</v>
      </c>
      <c r="C32" s="12"/>
      <c r="D32" s="12"/>
      <c r="E32" s="12"/>
      <c r="F32" s="12"/>
      <c r="G32" s="12"/>
      <c r="H32" s="13"/>
      <c r="I32" s="106">
        <f>SUM(I22:I30)</f>
        <v>117471.625</v>
      </c>
      <c r="J32" s="113">
        <f>SUM(J22,J23,J24,J25,J26,J27,J28,J29,J30)</f>
        <v>279.69434523809531</v>
      </c>
      <c r="L32" s="80">
        <f>J32/J32</f>
        <v>1</v>
      </c>
    </row>
    <row r="33" spans="1:14" ht="15" customHeight="1" thickBot="1" x14ac:dyDescent="0.35">
      <c r="B33" s="37"/>
      <c r="C33" s="12"/>
      <c r="D33" s="12"/>
      <c r="E33" s="12"/>
      <c r="F33" s="12"/>
      <c r="G33" s="12"/>
      <c r="H33" s="13"/>
      <c r="I33" s="125"/>
      <c r="J33" s="16"/>
      <c r="L33" s="81"/>
    </row>
    <row r="34" spans="1:14" ht="15" hidden="1" customHeight="1" outlineLevel="1" thickBot="1" x14ac:dyDescent="0.35">
      <c r="B34" s="14"/>
      <c r="C34" s="15"/>
      <c r="D34" s="15"/>
      <c r="E34" s="15"/>
      <c r="F34" s="15"/>
      <c r="H34" s="13"/>
      <c r="J34" s="16"/>
      <c r="L34" s="81"/>
    </row>
    <row r="35" spans="1:14" ht="15" hidden="1" customHeight="1" outlineLevel="1" thickBot="1" x14ac:dyDescent="0.35">
      <c r="B35" s="7" t="s">
        <v>40</v>
      </c>
      <c r="C35" s="7"/>
      <c r="D35" s="7"/>
      <c r="E35" s="20">
        <f>L35*10</f>
        <v>0</v>
      </c>
      <c r="F35" s="21"/>
      <c r="G35" s="22"/>
      <c r="H35" s="23"/>
      <c r="I35" s="24"/>
      <c r="J35" s="24"/>
      <c r="K35" s="82"/>
      <c r="L35" s="79">
        <v>0</v>
      </c>
    </row>
    <row r="36" spans="1:14" ht="15" hidden="1" customHeight="1" outlineLevel="1" x14ac:dyDescent="0.3">
      <c r="B36" s="7"/>
      <c r="E36" s="22"/>
      <c r="F36" s="22"/>
      <c r="G36" s="22"/>
      <c r="H36" s="25"/>
      <c r="I36" s="25"/>
      <c r="J36" s="25"/>
      <c r="K36" s="27"/>
      <c r="L36" s="79"/>
    </row>
    <row r="37" spans="1:14" ht="15" hidden="1" customHeight="1" outlineLevel="1" x14ac:dyDescent="0.3">
      <c r="B37" s="7" t="s">
        <v>30</v>
      </c>
      <c r="C37" s="7"/>
      <c r="D37" s="7"/>
      <c r="E37" s="12"/>
      <c r="F37" s="12"/>
      <c r="G37" s="12"/>
      <c r="H37" s="25"/>
      <c r="I37" s="106">
        <f>E13*12*E35</f>
        <v>0</v>
      </c>
      <c r="J37" s="107">
        <f>E35</f>
        <v>0</v>
      </c>
      <c r="K37" s="25"/>
      <c r="L37" s="79"/>
    </row>
    <row r="38" spans="1:14" ht="15" hidden="1" customHeight="1" outlineLevel="1" x14ac:dyDescent="0.3">
      <c r="B38" s="7" t="s">
        <v>24</v>
      </c>
      <c r="C38" s="7"/>
      <c r="D38" s="7"/>
      <c r="E38" s="12"/>
      <c r="F38" s="12"/>
      <c r="G38" s="12"/>
      <c r="H38" s="25"/>
      <c r="I38" s="106">
        <f>-I32+I37</f>
        <v>-117471.625</v>
      </c>
      <c r="J38" s="108">
        <f>-(J32-J37)</f>
        <v>-279.69434523809531</v>
      </c>
      <c r="K38" s="25"/>
      <c r="L38" s="79"/>
    </row>
    <row r="39" spans="1:14" ht="15" hidden="1" customHeight="1" outlineLevel="1" thickBot="1" x14ac:dyDescent="0.35">
      <c r="B39" s="22"/>
      <c r="C39" s="22"/>
      <c r="D39" s="22"/>
      <c r="L39" s="79"/>
    </row>
    <row r="40" spans="1:14" ht="15" customHeight="1" collapsed="1" thickBot="1" x14ac:dyDescent="0.35">
      <c r="B40" s="37" t="s">
        <v>22</v>
      </c>
      <c r="C40" s="37"/>
      <c r="D40" s="37"/>
      <c r="E40" s="126">
        <f>L40/100</f>
        <v>0.35</v>
      </c>
      <c r="F40" s="26"/>
      <c r="H40" s="23"/>
      <c r="I40" s="24"/>
      <c r="J40" s="24"/>
      <c r="K40" s="84"/>
      <c r="L40" s="85">
        <v>35</v>
      </c>
    </row>
    <row r="41" spans="1:14" ht="15" customHeight="1" x14ac:dyDescent="0.3">
      <c r="B41" s="26"/>
      <c r="E41" s="26"/>
      <c r="H41" s="27"/>
      <c r="I41" s="27"/>
      <c r="J41" s="27"/>
      <c r="K41" s="27"/>
      <c r="L41" s="86"/>
      <c r="N41" s="87"/>
    </row>
    <row r="42" spans="1:14" ht="15" customHeight="1" x14ac:dyDescent="0.3">
      <c r="B42" s="34" t="s">
        <v>19</v>
      </c>
      <c r="C42" s="127"/>
      <c r="D42" s="37"/>
      <c r="E42" s="27"/>
      <c r="H42" s="27"/>
      <c r="I42" s="106">
        <f>E13*E35*12</f>
        <v>0</v>
      </c>
      <c r="K42" s="27"/>
      <c r="L42" s="85"/>
      <c r="N42" s="87"/>
    </row>
    <row r="43" spans="1:14" ht="15" customHeight="1" x14ac:dyDescent="0.3">
      <c r="B43" s="34" t="s">
        <v>47</v>
      </c>
      <c r="C43" s="37"/>
      <c r="D43" s="37"/>
      <c r="E43" s="27"/>
      <c r="F43" s="32"/>
      <c r="H43" s="27"/>
      <c r="I43" s="106">
        <f>E16*(1-E14)*E11+0.2*E11+(I23+I24+I25+I26+I28+I29+I30)*E40</f>
        <v>102615.06875000001</v>
      </c>
      <c r="K43" s="27"/>
      <c r="L43" s="85"/>
      <c r="N43" s="87"/>
    </row>
    <row r="44" spans="1:14" ht="15" customHeight="1" x14ac:dyDescent="0.3">
      <c r="A44" s="27"/>
      <c r="B44" s="7"/>
      <c r="D44" s="7"/>
      <c r="E44" s="32"/>
      <c r="F44" s="32"/>
      <c r="H44" s="27"/>
      <c r="I44" s="33"/>
      <c r="K44" s="27"/>
      <c r="L44" s="85"/>
      <c r="N44" s="87"/>
    </row>
    <row r="45" spans="1:14" ht="15" customHeight="1" thickBot="1" x14ac:dyDescent="0.35">
      <c r="A45" s="27"/>
      <c r="B45" s="34"/>
      <c r="C45" s="25"/>
      <c r="D45" s="34"/>
      <c r="E45" s="32"/>
      <c r="F45" s="32"/>
      <c r="H45" s="27"/>
      <c r="I45" s="33"/>
      <c r="K45" s="27"/>
      <c r="L45" s="85"/>
      <c r="N45" s="87"/>
    </row>
    <row r="46" spans="1:14" ht="15" customHeight="1" thickBot="1" x14ac:dyDescent="0.35">
      <c r="B46" s="35" t="s">
        <v>26</v>
      </c>
      <c r="C46" s="36"/>
      <c r="D46" s="37"/>
      <c r="H46" s="27"/>
      <c r="I46" s="50">
        <f>-E40*(I42-I43)</f>
        <v>35915.274062500001</v>
      </c>
      <c r="J46" s="49">
        <f>I46/(12*E13)</f>
        <v>85.512557291666667</v>
      </c>
      <c r="L46" s="79"/>
      <c r="M46" s="33"/>
      <c r="N46" s="88"/>
    </row>
    <row r="47" spans="1:14" ht="15" customHeight="1" thickBot="1" x14ac:dyDescent="0.35">
      <c r="B47" s="38"/>
      <c r="C47" s="22"/>
      <c r="D47" s="22"/>
      <c r="H47" s="27"/>
      <c r="I47" s="39"/>
      <c r="J47" s="40"/>
      <c r="L47" s="79"/>
    </row>
    <row r="48" spans="1:14" ht="15" customHeight="1" thickBot="1" x14ac:dyDescent="0.35">
      <c r="B48" s="11" t="s">
        <v>34</v>
      </c>
      <c r="C48" s="11"/>
      <c r="D48" s="11"/>
      <c r="E48" s="41"/>
      <c r="F48" s="15"/>
      <c r="I48" s="50">
        <f>I38+I46</f>
        <v>-81556.350937499999</v>
      </c>
      <c r="J48" s="51">
        <f>J38+J46</f>
        <v>-194.18178794642864</v>
      </c>
    </row>
    <row r="49" spans="2:15" ht="15" customHeight="1" thickBot="1" x14ac:dyDescent="0.35">
      <c r="B49" s="22"/>
      <c r="C49" s="22"/>
      <c r="D49" s="22"/>
      <c r="E49" s="22"/>
      <c r="G49" s="42"/>
      <c r="I49" s="22"/>
      <c r="O49" s="128"/>
    </row>
    <row r="50" spans="2:15" ht="15" customHeight="1" x14ac:dyDescent="0.3">
      <c r="B50" s="43" t="s">
        <v>14</v>
      </c>
    </row>
    <row r="51" spans="2:15" ht="15" customHeight="1" x14ac:dyDescent="0.3">
      <c r="B51" s="43"/>
    </row>
    <row r="52" spans="2:15" ht="15" customHeight="1" x14ac:dyDescent="0.3">
      <c r="B52" s="43"/>
    </row>
    <row r="53" spans="2:15" ht="15" customHeight="1" x14ac:dyDescent="0.3">
      <c r="B53" s="43"/>
    </row>
    <row r="75" spans="2:7" ht="15" customHeight="1" x14ac:dyDescent="0.3">
      <c r="C75" s="96"/>
      <c r="D75" s="96"/>
      <c r="E75" s="96"/>
      <c r="F75" s="96"/>
      <c r="G75" s="96"/>
    </row>
    <row r="76" spans="2:7" ht="15" customHeight="1" x14ac:dyDescent="0.3">
      <c r="B76" s="96" t="s">
        <v>18</v>
      </c>
    </row>
  </sheetData>
  <sheetProtection algorithmName="SHA-512" hashValue="Q43b44/2n5lVAg1sTsypRW0Gqqfk4aubELWaTy/0A11FWvqLLm5jcVGhTKOjrMSmj217YbK7tQq6MlWRB5HCTw==" saltValue="0cEzg4eGqKibUwC3u9De+A==" spinCount="100000" sheet="1" objects="1" scenarios="1"/>
  <mergeCells count="4">
    <mergeCell ref="B2:J3"/>
    <mergeCell ref="B6:J6"/>
    <mergeCell ref="B7:K7"/>
    <mergeCell ref="H9:J9"/>
  </mergeCells>
  <conditionalFormatting sqref="L34">
    <cfRule type="dataBar" priority="1">
      <dataBar>
        <cfvo type="min"/>
        <cfvo type="max"/>
        <color rgb="FFFF555A"/>
      </dataBar>
      <extLst>
        <ext xmlns:x14="http://schemas.microsoft.com/office/spreadsheetml/2009/9/main" uri="{B025F937-C7B1-47D3-B67F-A62EFF666E3E}">
          <x14:id>{21062501-E369-43BC-A1C8-BBB15001EB06}</x14:id>
        </ext>
      </extLst>
    </cfRule>
    <cfRule type="colorScale" priority="2">
      <colorScale>
        <cfvo type="min"/>
        <cfvo type="max"/>
        <color rgb="FF63BE7B"/>
        <color rgb="FFFCFCFF"/>
      </colorScale>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Scroll Bar 1">
              <controlPr defaultSize="0" autoPict="0">
                <anchor moveWithCells="1">
                  <from>
                    <xdr:col>7</xdr:col>
                    <xdr:colOff>30480</xdr:colOff>
                    <xdr:row>18</xdr:row>
                    <xdr:rowOff>22860</xdr:rowOff>
                  </from>
                  <to>
                    <xdr:col>9</xdr:col>
                    <xdr:colOff>594360</xdr:colOff>
                    <xdr:row>18</xdr:row>
                    <xdr:rowOff>175260</xdr:rowOff>
                  </to>
                </anchor>
              </controlPr>
            </control>
          </mc:Choice>
        </mc:AlternateContent>
        <mc:AlternateContent xmlns:mc="http://schemas.openxmlformats.org/markup-compatibility/2006">
          <mc:Choice Requires="x14">
            <control shapeId="2050" r:id="rId5" name="Scroll Bar 2">
              <controlPr defaultSize="0" autoPict="0">
                <anchor moveWithCells="1">
                  <from>
                    <xdr:col>7</xdr:col>
                    <xdr:colOff>38100</xdr:colOff>
                    <xdr:row>12</xdr:row>
                    <xdr:rowOff>30480</xdr:rowOff>
                  </from>
                  <to>
                    <xdr:col>9</xdr:col>
                    <xdr:colOff>601980</xdr:colOff>
                    <xdr:row>12</xdr:row>
                    <xdr:rowOff>160020</xdr:rowOff>
                  </to>
                </anchor>
              </controlPr>
            </control>
          </mc:Choice>
        </mc:AlternateContent>
        <mc:AlternateContent xmlns:mc="http://schemas.openxmlformats.org/markup-compatibility/2006">
          <mc:Choice Requires="x14">
            <control shapeId="2051" r:id="rId6" name="Scroll Bar 3">
              <controlPr defaultSize="0" autoPict="0">
                <anchor moveWithCells="1">
                  <from>
                    <xdr:col>7</xdr:col>
                    <xdr:colOff>38100</xdr:colOff>
                    <xdr:row>15</xdr:row>
                    <xdr:rowOff>22860</xdr:rowOff>
                  </from>
                  <to>
                    <xdr:col>9</xdr:col>
                    <xdr:colOff>586740</xdr:colOff>
                    <xdr:row>15</xdr:row>
                    <xdr:rowOff>160020</xdr:rowOff>
                  </to>
                </anchor>
              </controlPr>
            </control>
          </mc:Choice>
        </mc:AlternateContent>
        <mc:AlternateContent xmlns:mc="http://schemas.openxmlformats.org/markup-compatibility/2006">
          <mc:Choice Requires="x14">
            <control shapeId="2052" r:id="rId7" name="Scroll Bar 4">
              <controlPr defaultSize="0" autoPict="0">
                <anchor moveWithCells="1">
                  <from>
                    <xdr:col>7</xdr:col>
                    <xdr:colOff>38100</xdr:colOff>
                    <xdr:row>13</xdr:row>
                    <xdr:rowOff>22860</xdr:rowOff>
                  </from>
                  <to>
                    <xdr:col>9</xdr:col>
                    <xdr:colOff>594360</xdr:colOff>
                    <xdr:row>13</xdr:row>
                    <xdr:rowOff>175260</xdr:rowOff>
                  </to>
                </anchor>
              </controlPr>
            </control>
          </mc:Choice>
        </mc:AlternateContent>
        <mc:AlternateContent xmlns:mc="http://schemas.openxmlformats.org/markup-compatibility/2006">
          <mc:Choice Requires="x14">
            <control shapeId="2056" r:id="rId8" name="Scroll Bar 8">
              <controlPr defaultSize="0" autoPict="0">
                <anchor moveWithCells="1">
                  <from>
                    <xdr:col>7</xdr:col>
                    <xdr:colOff>38100</xdr:colOff>
                    <xdr:row>17</xdr:row>
                    <xdr:rowOff>30480</xdr:rowOff>
                  </from>
                  <to>
                    <xdr:col>9</xdr:col>
                    <xdr:colOff>609600</xdr:colOff>
                    <xdr:row>17</xdr:row>
                    <xdr:rowOff>152400</xdr:rowOff>
                  </to>
                </anchor>
              </controlPr>
            </control>
          </mc:Choice>
        </mc:AlternateContent>
        <mc:AlternateContent xmlns:mc="http://schemas.openxmlformats.org/markup-compatibility/2006">
          <mc:Choice Requires="x14">
            <control shapeId="2057" r:id="rId9" name="Scroll Bar 9">
              <controlPr defaultSize="0" autoPict="0">
                <anchor moveWithCells="1">
                  <from>
                    <xdr:col>7</xdr:col>
                    <xdr:colOff>22860</xdr:colOff>
                    <xdr:row>39</xdr:row>
                    <xdr:rowOff>22860</xdr:rowOff>
                  </from>
                  <to>
                    <xdr:col>9</xdr:col>
                    <xdr:colOff>601980</xdr:colOff>
                    <xdr:row>39</xdr:row>
                    <xdr:rowOff>175260</xdr:rowOff>
                  </to>
                </anchor>
              </controlPr>
            </control>
          </mc:Choice>
        </mc:AlternateContent>
        <mc:AlternateContent xmlns:mc="http://schemas.openxmlformats.org/markup-compatibility/2006">
          <mc:Choice Requires="x14">
            <control shapeId="2058" r:id="rId10" name="Scroll Bar 10">
              <controlPr defaultSize="0" autoPict="0">
                <anchor moveWithCells="1">
                  <from>
                    <xdr:col>7</xdr:col>
                    <xdr:colOff>22860</xdr:colOff>
                    <xdr:row>10</xdr:row>
                    <xdr:rowOff>22860</xdr:rowOff>
                  </from>
                  <to>
                    <xdr:col>9</xdr:col>
                    <xdr:colOff>594360</xdr:colOff>
                    <xdr:row>10</xdr:row>
                    <xdr:rowOff>175260</xdr:rowOff>
                  </to>
                </anchor>
              </controlPr>
            </control>
          </mc:Choice>
        </mc:AlternateContent>
        <mc:AlternateContent xmlns:mc="http://schemas.openxmlformats.org/markup-compatibility/2006">
          <mc:Choice Requires="x14">
            <control shapeId="2060" r:id="rId11" name="Scroll Bar 12">
              <controlPr defaultSize="0" autoPict="0">
                <anchor moveWithCells="1">
                  <from>
                    <xdr:col>7</xdr:col>
                    <xdr:colOff>22860</xdr:colOff>
                    <xdr:row>17</xdr:row>
                    <xdr:rowOff>22860</xdr:rowOff>
                  </from>
                  <to>
                    <xdr:col>9</xdr:col>
                    <xdr:colOff>594360</xdr:colOff>
                    <xdr:row>17</xdr:row>
                    <xdr:rowOff>175260</xdr:rowOff>
                  </to>
                </anchor>
              </controlPr>
            </control>
          </mc:Choice>
        </mc:AlternateContent>
        <mc:AlternateContent xmlns:mc="http://schemas.openxmlformats.org/markup-compatibility/2006">
          <mc:Choice Requires="x14">
            <control shapeId="2061" r:id="rId12" name="Scroll Bar 13">
              <controlPr defaultSize="0" autoPict="0">
                <anchor moveWithCells="1">
                  <from>
                    <xdr:col>7</xdr:col>
                    <xdr:colOff>45720</xdr:colOff>
                    <xdr:row>34</xdr:row>
                    <xdr:rowOff>22860</xdr:rowOff>
                  </from>
                  <to>
                    <xdr:col>9</xdr:col>
                    <xdr:colOff>609600</xdr:colOff>
                    <xdr:row>39</xdr:row>
                    <xdr:rowOff>152400</xdr:rowOff>
                  </to>
                </anchor>
              </controlPr>
            </control>
          </mc:Choice>
        </mc:AlternateContent>
        <mc:AlternateContent xmlns:mc="http://schemas.openxmlformats.org/markup-compatibility/2006">
          <mc:Choice Requires="x14">
            <control shapeId="2062" r:id="rId13" name="Scroll Bar 14">
              <controlPr defaultSize="0" autoPict="0">
                <anchor moveWithCells="1">
                  <from>
                    <xdr:col>7</xdr:col>
                    <xdr:colOff>30480</xdr:colOff>
                    <xdr:row>39</xdr:row>
                    <xdr:rowOff>30480</xdr:rowOff>
                  </from>
                  <to>
                    <xdr:col>9</xdr:col>
                    <xdr:colOff>609600</xdr:colOff>
                    <xdr:row>39</xdr:row>
                    <xdr:rowOff>167640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21062501-E369-43BC-A1C8-BBB15001EB06}">
            <x14:dataBar minLength="0" maxLength="100" border="1" negativeBarBorderColorSameAsPositive="0">
              <x14:cfvo type="autoMin"/>
              <x14:cfvo type="autoMax"/>
              <x14:borderColor rgb="FFFF555A"/>
              <x14:negativeFillColor rgb="FFFF0000"/>
              <x14:negativeBorderColor rgb="FFFF0000"/>
              <x14:axisColor rgb="FF000000"/>
            </x14:dataBar>
          </x14:cfRule>
          <xm:sqref>L34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77"/>
  <sheetViews>
    <sheetView showGridLines="0" topLeftCell="A22" zoomScaleNormal="100" workbookViewId="0">
      <selection activeCell="O29" sqref="O29"/>
    </sheetView>
  </sheetViews>
  <sheetFormatPr defaultRowHeight="15" customHeight="1" outlineLevelRow="1" x14ac:dyDescent="0.3"/>
  <cols>
    <col min="1" max="3" width="8.88671875" style="5"/>
    <col min="4" max="4" width="8.88671875" style="5" customWidth="1"/>
    <col min="5" max="5" width="11.88671875" style="5" customWidth="1"/>
    <col min="6" max="7" width="8.88671875" style="5" customWidth="1"/>
    <col min="8" max="8" width="6.5546875" style="5" customWidth="1"/>
    <col min="9" max="9" width="11.33203125" style="5" customWidth="1"/>
    <col min="10" max="12" width="8.88671875" style="5" customWidth="1"/>
    <col min="13" max="16384" width="8.88671875" style="5"/>
  </cols>
  <sheetData>
    <row r="1" spans="1:12" ht="15" customHeight="1" x14ac:dyDescent="0.5">
      <c r="A1" s="52"/>
      <c r="B1" s="4"/>
      <c r="C1" s="4"/>
      <c r="D1" s="4"/>
      <c r="E1" s="4"/>
      <c r="F1" s="4"/>
      <c r="G1" s="4"/>
      <c r="H1" s="4"/>
      <c r="I1" s="4"/>
      <c r="J1" s="2"/>
      <c r="K1" s="53"/>
      <c r="L1" s="54"/>
    </row>
    <row r="2" spans="1:12" ht="15" customHeight="1" x14ac:dyDescent="0.5">
      <c r="A2" s="52"/>
      <c r="B2" s="4"/>
      <c r="C2" s="100" t="s">
        <v>42</v>
      </c>
      <c r="D2" s="101"/>
      <c r="E2" s="101"/>
      <c r="F2" s="101"/>
      <c r="G2" s="101"/>
      <c r="H2" s="101"/>
      <c r="I2" s="101"/>
      <c r="J2" s="101"/>
      <c r="K2" s="53"/>
      <c r="L2" s="54"/>
    </row>
    <row r="3" spans="1:12" ht="15" customHeight="1" x14ac:dyDescent="0.5">
      <c r="A3" s="52"/>
      <c r="B3" s="4"/>
      <c r="C3" s="101"/>
      <c r="D3" s="101"/>
      <c r="E3" s="101"/>
      <c r="F3" s="101"/>
      <c r="G3" s="101"/>
      <c r="H3" s="101"/>
      <c r="I3" s="101"/>
      <c r="J3" s="101"/>
      <c r="K3" s="53"/>
      <c r="L3" s="54"/>
    </row>
    <row r="4" spans="1:12" ht="15" customHeight="1" x14ac:dyDescent="0.5">
      <c r="A4" s="52"/>
      <c r="B4" s="4"/>
      <c r="C4" s="4"/>
      <c r="D4" s="4"/>
      <c r="E4" s="4"/>
      <c r="F4" s="4"/>
      <c r="G4" s="4"/>
      <c r="H4" s="4"/>
      <c r="I4" s="4"/>
      <c r="J4" s="3"/>
      <c r="K4" s="53"/>
      <c r="L4" s="54"/>
    </row>
    <row r="5" spans="1:12" ht="15" customHeight="1" x14ac:dyDescent="0.5">
      <c r="A5" s="22"/>
      <c r="B5" s="1"/>
      <c r="C5" s="1"/>
      <c r="D5" s="1"/>
      <c r="E5" s="1"/>
      <c r="F5" s="1"/>
      <c r="G5" s="1"/>
      <c r="H5" s="1"/>
      <c r="I5" s="1"/>
      <c r="J5" s="1"/>
      <c r="K5" s="55"/>
      <c r="L5" s="54"/>
    </row>
    <row r="6" spans="1:12" ht="15" customHeight="1" x14ac:dyDescent="0.3">
      <c r="B6" s="99" t="s">
        <v>33</v>
      </c>
      <c r="C6" s="99"/>
      <c r="D6" s="99"/>
      <c r="E6" s="99"/>
      <c r="F6" s="99"/>
      <c r="G6" s="99"/>
      <c r="H6" s="99"/>
      <c r="I6" s="99"/>
      <c r="J6" s="99"/>
      <c r="L6" s="56" t="s">
        <v>17</v>
      </c>
    </row>
    <row r="7" spans="1:12" ht="14.4" customHeight="1" x14ac:dyDescent="0.3">
      <c r="B7" s="102" t="s">
        <v>36</v>
      </c>
      <c r="C7" s="102"/>
      <c r="D7" s="102"/>
      <c r="E7" s="102"/>
      <c r="F7" s="102"/>
      <c r="G7" s="102"/>
      <c r="H7" s="102"/>
      <c r="I7" s="102"/>
      <c r="J7" s="102"/>
      <c r="K7" s="102"/>
      <c r="L7" s="6"/>
    </row>
    <row r="8" spans="1:12" ht="14.4" customHeight="1" x14ac:dyDescent="0.3">
      <c r="B8" s="97"/>
      <c r="C8" s="97"/>
      <c r="D8" s="97"/>
      <c r="E8" s="97"/>
      <c r="F8" s="97"/>
      <c r="G8" s="97"/>
      <c r="H8" s="97"/>
      <c r="I8" s="97"/>
      <c r="J8" s="97"/>
      <c r="K8" s="97"/>
      <c r="L8" s="6"/>
    </row>
    <row r="9" spans="1:12" ht="15" customHeight="1" x14ac:dyDescent="0.3">
      <c r="E9" s="57"/>
      <c r="F9" s="57"/>
      <c r="H9" s="98" t="s">
        <v>32</v>
      </c>
      <c r="I9" s="98"/>
      <c r="J9" s="98"/>
      <c r="L9" s="6"/>
    </row>
    <row r="10" spans="1:12" ht="15" customHeight="1" thickBot="1" x14ac:dyDescent="0.35">
      <c r="E10" s="57"/>
      <c r="F10" s="57"/>
      <c r="H10" s="58" t="s">
        <v>10</v>
      </c>
      <c r="J10" s="59" t="s">
        <v>43</v>
      </c>
      <c r="L10" s="6"/>
    </row>
    <row r="11" spans="1:12" ht="15" customHeight="1" thickBot="1" x14ac:dyDescent="0.35">
      <c r="B11" s="60" t="s">
        <v>25</v>
      </c>
      <c r="C11" s="61"/>
      <c r="D11" s="62"/>
      <c r="E11" s="20">
        <f>L11*10000</f>
        <v>300000</v>
      </c>
      <c r="F11" s="21"/>
      <c r="H11" s="23"/>
      <c r="I11" s="24"/>
      <c r="J11" s="24"/>
      <c r="K11" s="63"/>
      <c r="L11" s="64">
        <v>30</v>
      </c>
    </row>
    <row r="12" spans="1:12" ht="15" customHeight="1" thickBot="1" x14ac:dyDescent="0.35">
      <c r="E12" s="65"/>
      <c r="F12" s="65"/>
      <c r="H12" s="58" t="s">
        <v>11</v>
      </c>
      <c r="J12" s="58" t="s">
        <v>12</v>
      </c>
      <c r="K12" s="22"/>
      <c r="L12" s="64"/>
    </row>
    <row r="13" spans="1:12" ht="15" customHeight="1" thickBot="1" x14ac:dyDescent="0.35">
      <c r="B13" s="60" t="s">
        <v>7</v>
      </c>
      <c r="C13" s="61"/>
      <c r="D13" s="66"/>
      <c r="E13" s="44">
        <f>L13*1</f>
        <v>35</v>
      </c>
      <c r="F13" s="67"/>
      <c r="H13" s="23"/>
      <c r="I13" s="24"/>
      <c r="J13" s="24"/>
      <c r="K13" s="63"/>
      <c r="L13" s="68">
        <v>35</v>
      </c>
    </row>
    <row r="14" spans="1:12" ht="15" customHeight="1" thickBot="1" x14ac:dyDescent="0.35">
      <c r="B14" s="69" t="s">
        <v>29</v>
      </c>
      <c r="C14" s="70"/>
      <c r="D14" s="71"/>
      <c r="E14" s="45">
        <f>L14/100</f>
        <v>0.2</v>
      </c>
      <c r="F14" s="72"/>
      <c r="H14" s="23"/>
      <c r="I14" s="24"/>
      <c r="J14" s="24"/>
      <c r="K14" s="63"/>
      <c r="L14" s="73">
        <v>20</v>
      </c>
    </row>
    <row r="15" spans="1:12" ht="15" customHeight="1" thickBot="1" x14ac:dyDescent="0.35">
      <c r="B15" s="69" t="s">
        <v>28</v>
      </c>
      <c r="C15" s="69"/>
      <c r="D15" s="69"/>
      <c r="E15" s="45">
        <f>L15/200</f>
        <v>0</v>
      </c>
      <c r="H15" s="23"/>
      <c r="I15" s="24"/>
      <c r="J15" s="24"/>
      <c r="K15" s="63"/>
      <c r="L15" s="73">
        <v>0</v>
      </c>
    </row>
    <row r="16" spans="1:12" ht="15" customHeight="1" thickBot="1" x14ac:dyDescent="0.35">
      <c r="B16" s="74" t="s">
        <v>27</v>
      </c>
      <c r="C16" s="75"/>
      <c r="D16" s="76"/>
      <c r="E16" s="45">
        <f>L16/200</f>
        <v>0.05</v>
      </c>
      <c r="F16" s="72"/>
      <c r="H16" s="23"/>
      <c r="I16" s="24"/>
      <c r="J16" s="24"/>
      <c r="K16" s="63"/>
      <c r="L16" s="73">
        <v>10</v>
      </c>
    </row>
    <row r="17" spans="2:12" ht="15" customHeight="1" thickBot="1" x14ac:dyDescent="0.35"/>
    <row r="18" spans="2:12" ht="15" customHeight="1" thickBot="1" x14ac:dyDescent="0.35">
      <c r="B18" s="60" t="s">
        <v>5</v>
      </c>
      <c r="C18" s="61"/>
      <c r="D18" s="66"/>
      <c r="E18" s="46">
        <f>L18*0.25</f>
        <v>6</v>
      </c>
      <c r="F18" s="77"/>
      <c r="H18" s="23"/>
      <c r="I18" s="24"/>
      <c r="J18" s="24"/>
      <c r="K18" s="63"/>
      <c r="L18" s="64">
        <v>24</v>
      </c>
    </row>
    <row r="19" spans="2:12" ht="15" customHeight="1" thickBot="1" x14ac:dyDescent="0.35">
      <c r="B19" s="60" t="s">
        <v>13</v>
      </c>
      <c r="C19" s="60"/>
      <c r="D19" s="61"/>
      <c r="E19" s="20">
        <f>L19*5</f>
        <v>100</v>
      </c>
      <c r="F19" s="21"/>
      <c r="H19" s="23"/>
      <c r="I19" s="24"/>
      <c r="J19" s="24"/>
      <c r="K19" s="63"/>
      <c r="L19" s="64">
        <v>20</v>
      </c>
    </row>
    <row r="20" spans="2:12" ht="15" customHeight="1" x14ac:dyDescent="0.3">
      <c r="L20" s="6"/>
    </row>
    <row r="21" spans="2:12" ht="15" customHeight="1" x14ac:dyDescent="0.3">
      <c r="I21" s="78" t="s">
        <v>15</v>
      </c>
      <c r="J21" s="78" t="s">
        <v>16</v>
      </c>
      <c r="L21" s="79"/>
    </row>
    <row r="22" spans="2:12" ht="15" customHeight="1" outlineLevel="1" x14ac:dyDescent="0.3">
      <c r="B22" s="7" t="s">
        <v>0</v>
      </c>
      <c r="C22" s="7"/>
      <c r="D22" s="7"/>
      <c r="E22" s="7"/>
      <c r="I22" s="8">
        <f>E15*E14*E11+E16*(1-E14)*E11</f>
        <v>12000.000000000002</v>
      </c>
      <c r="J22" s="9">
        <f>I22/(E13*12)</f>
        <v>28.571428571428577</v>
      </c>
      <c r="L22" s="80">
        <f ca="1">J22/J32</f>
        <v>0.10215232825955263</v>
      </c>
    </row>
    <row r="23" spans="2:12" ht="15" customHeight="1" outlineLevel="1" x14ac:dyDescent="0.3">
      <c r="B23" s="7" t="s">
        <v>37</v>
      </c>
      <c r="C23" s="7"/>
      <c r="D23" s="7"/>
      <c r="E23" s="7"/>
      <c r="I23" s="8">
        <f>J23*12*L13</f>
        <v>36027.600000000006</v>
      </c>
      <c r="J23" s="9">
        <f>14*E18+1.78</f>
        <v>85.78</v>
      </c>
      <c r="L23" s="80">
        <f ca="1">J23/J32</f>
        <v>0.30669193513365484</v>
      </c>
    </row>
    <row r="24" spans="2:12" ht="15" customHeight="1" outlineLevel="1" x14ac:dyDescent="0.3">
      <c r="B24" s="7" t="s">
        <v>2</v>
      </c>
      <c r="C24" s="7"/>
      <c r="D24" s="7"/>
      <c r="E24" s="7"/>
      <c r="I24" s="8">
        <f>J24*(12*E13)</f>
        <v>13895.7</v>
      </c>
      <c r="J24" s="9">
        <f>(0.2545*E19+0.3*(0.2545*E19))</f>
        <v>33.085000000000001</v>
      </c>
      <c r="L24" s="80">
        <f ca="1">J24/J32</f>
        <v>0.11828984231635545</v>
      </c>
    </row>
    <row r="25" spans="2:12" ht="15" customHeight="1" outlineLevel="1" x14ac:dyDescent="0.3">
      <c r="B25" s="7" t="s">
        <v>20</v>
      </c>
      <c r="C25" s="7"/>
      <c r="D25" s="7"/>
      <c r="E25" s="7"/>
      <c r="I25" s="8">
        <v>1806</v>
      </c>
      <c r="J25" s="9">
        <f>I25/(12*E13)</f>
        <v>4.3</v>
      </c>
      <c r="L25" s="80">
        <f ca="1">J25/J32</f>
        <v>1.5373925403062668E-2</v>
      </c>
    </row>
    <row r="26" spans="2:12" ht="15" customHeight="1" outlineLevel="1" x14ac:dyDescent="0.3">
      <c r="B26" s="7" t="s">
        <v>8</v>
      </c>
      <c r="C26" s="7"/>
      <c r="D26" s="7"/>
      <c r="E26" s="7"/>
      <c r="I26" s="8">
        <f>(2%*E11)+1100</f>
        <v>7100</v>
      </c>
      <c r="J26" s="9">
        <f>I26/(12*E13)</f>
        <v>16.904761904761905</v>
      </c>
      <c r="L26" s="80">
        <f ca="1">J26/J32</f>
        <v>6.0440127553568632E-2</v>
      </c>
    </row>
    <row r="27" spans="2:12" ht="15" customHeight="1" outlineLevel="1" x14ac:dyDescent="0.3">
      <c r="B27" s="7" t="s">
        <v>3</v>
      </c>
      <c r="C27" s="7"/>
      <c r="D27" s="7"/>
      <c r="E27" s="7"/>
      <c r="I27" s="8">
        <f>6%*E11</f>
        <v>18000</v>
      </c>
      <c r="J27" s="9">
        <f>I27/(12*E13)</f>
        <v>42.857142857142854</v>
      </c>
      <c r="L27" s="80">
        <f ca="1">J27/J32</f>
        <v>0.1532284923893289</v>
      </c>
    </row>
    <row r="28" spans="2:12" ht="15" customHeight="1" outlineLevel="1" x14ac:dyDescent="0.3">
      <c r="B28" s="7" t="s">
        <v>4</v>
      </c>
      <c r="C28" s="7"/>
      <c r="D28" s="7"/>
      <c r="E28" s="7"/>
      <c r="I28" s="8">
        <f>12*154</f>
        <v>1848</v>
      </c>
      <c r="J28" s="9">
        <f>I28/(12*E13)</f>
        <v>4.4000000000000004</v>
      </c>
      <c r="L28" s="80">
        <f ca="1">J28/J32</f>
        <v>1.5731458551971104E-2</v>
      </c>
    </row>
    <row r="29" spans="2:12" ht="15" customHeight="1" outlineLevel="1" x14ac:dyDescent="0.3">
      <c r="B29" s="7" t="s">
        <v>6</v>
      </c>
      <c r="C29" s="7"/>
      <c r="D29" s="7"/>
      <c r="E29" s="7"/>
      <c r="I29" s="8">
        <f>1.1%*E11</f>
        <v>3300.0000000000005</v>
      </c>
      <c r="J29" s="9">
        <f>I29/(12*E13)</f>
        <v>7.8571428571428585</v>
      </c>
      <c r="L29" s="80">
        <f ca="1">J29/J32</f>
        <v>2.8091890271376974E-2</v>
      </c>
    </row>
    <row r="30" spans="2:12" ht="15" customHeight="1" outlineLevel="1" x14ac:dyDescent="0.3">
      <c r="B30" s="7" t="s">
        <v>38</v>
      </c>
      <c r="C30" s="7"/>
      <c r="D30" s="7"/>
      <c r="E30" s="7"/>
      <c r="I30" s="8">
        <f ca="1">E13*12*J30</f>
        <v>23494.325017786497</v>
      </c>
      <c r="J30" s="10">
        <f ca="1">0.2*(J32)</f>
        <v>55.938869056088812</v>
      </c>
      <c r="L30" s="80">
        <f ca="1">I30/I32</f>
        <v>0.2</v>
      </c>
    </row>
    <row r="31" spans="2:12" ht="15" customHeight="1" outlineLevel="1" thickBot="1" x14ac:dyDescent="0.35">
      <c r="B31" s="15"/>
      <c r="C31" s="15"/>
      <c r="D31" s="15"/>
      <c r="E31" s="15"/>
      <c r="F31" s="15"/>
      <c r="J31" s="13"/>
      <c r="L31" s="6"/>
    </row>
    <row r="32" spans="2:12" ht="15" customHeight="1" thickBot="1" x14ac:dyDescent="0.35">
      <c r="B32" s="11" t="s">
        <v>39</v>
      </c>
      <c r="C32" s="12"/>
      <c r="D32" s="13"/>
      <c r="I32" s="47">
        <f ca="1">I22+I23+I24+I25+I26+I27+I28+I29+I30</f>
        <v>117471.6250177865</v>
      </c>
      <c r="J32" s="48">
        <f ca="1">J22+J23+J24+J25+J26+J27+J28+J29+J30</f>
        <v>279.69434524656504</v>
      </c>
      <c r="L32" s="81">
        <f ca="1">J32/J32</f>
        <v>1</v>
      </c>
    </row>
    <row r="33" spans="1:14" ht="15" customHeight="1" x14ac:dyDescent="0.3">
      <c r="B33" s="14"/>
      <c r="C33" s="15"/>
      <c r="D33" s="15"/>
      <c r="E33" s="15"/>
      <c r="F33" s="15"/>
      <c r="H33" s="13"/>
      <c r="J33" s="16"/>
      <c r="L33" s="81"/>
    </row>
    <row r="34" spans="1:14" ht="15" customHeight="1" thickBot="1" x14ac:dyDescent="0.35">
      <c r="B34" s="14"/>
      <c r="C34" s="15"/>
      <c r="D34" s="15"/>
      <c r="E34" s="15"/>
      <c r="F34" s="15"/>
      <c r="H34" s="13"/>
      <c r="J34" s="16"/>
      <c r="L34" s="81"/>
    </row>
    <row r="35" spans="1:14" ht="15" customHeight="1" thickBot="1" x14ac:dyDescent="0.35">
      <c r="B35" s="17" t="s">
        <v>40</v>
      </c>
      <c r="C35" s="18"/>
      <c r="D35" s="19"/>
      <c r="E35" s="20">
        <f>L35*10</f>
        <v>320</v>
      </c>
      <c r="F35" s="21"/>
      <c r="G35" s="22"/>
      <c r="H35" s="23"/>
      <c r="I35" s="24"/>
      <c r="J35" s="24"/>
      <c r="K35" s="82"/>
      <c r="L35" s="79">
        <v>32</v>
      </c>
    </row>
    <row r="36" spans="1:14" ht="15" customHeight="1" outlineLevel="1" thickBot="1" x14ac:dyDescent="0.35">
      <c r="B36" s="7"/>
      <c r="E36" s="22"/>
      <c r="F36" s="22"/>
      <c r="G36" s="22"/>
      <c r="H36" s="25"/>
      <c r="I36" s="25"/>
      <c r="J36" s="25"/>
      <c r="K36" s="27"/>
      <c r="L36" s="79"/>
    </row>
    <row r="37" spans="1:14" ht="15" customHeight="1" outlineLevel="1" thickBot="1" x14ac:dyDescent="0.35">
      <c r="B37" s="17" t="s">
        <v>30</v>
      </c>
      <c r="C37" s="18"/>
      <c r="D37" s="19"/>
      <c r="E37" s="12"/>
      <c r="F37" s="12"/>
      <c r="G37" s="12"/>
      <c r="H37" s="25"/>
      <c r="I37" s="47">
        <f>E13*12*E35</f>
        <v>134400</v>
      </c>
      <c r="J37" s="49">
        <f>E35</f>
        <v>320</v>
      </c>
      <c r="K37" s="25"/>
      <c r="L37" s="79"/>
    </row>
    <row r="38" spans="1:14" ht="15" customHeight="1" outlineLevel="1" thickBot="1" x14ac:dyDescent="0.35">
      <c r="B38" s="17" t="s">
        <v>24</v>
      </c>
      <c r="C38" s="18"/>
      <c r="D38" s="19"/>
      <c r="E38" s="12"/>
      <c r="F38" s="12"/>
      <c r="G38" s="12"/>
      <c r="H38" s="25"/>
      <c r="I38" s="47">
        <f ca="1">-I32+I37</f>
        <v>16928.3749822135</v>
      </c>
      <c r="J38" s="51">
        <f ca="1">-(J32-J37)</f>
        <v>40.305654753434965</v>
      </c>
      <c r="K38" s="25"/>
      <c r="L38" s="79"/>
    </row>
    <row r="39" spans="1:14" ht="15" customHeight="1" outlineLevel="1" thickBot="1" x14ac:dyDescent="0.35">
      <c r="B39" s="22"/>
      <c r="C39" s="22"/>
      <c r="D39" s="22"/>
      <c r="L39" s="79"/>
    </row>
    <row r="40" spans="1:14" ht="15" customHeight="1" thickBot="1" x14ac:dyDescent="0.35">
      <c r="B40" s="17" t="s">
        <v>22</v>
      </c>
      <c r="C40" s="18"/>
      <c r="D40" s="19"/>
      <c r="E40" s="83">
        <f>L40/100</f>
        <v>0.2</v>
      </c>
      <c r="F40" s="26"/>
      <c r="H40" s="23"/>
      <c r="I40" s="24"/>
      <c r="J40" s="24"/>
      <c r="K40" s="84"/>
      <c r="L40" s="85">
        <v>20</v>
      </c>
    </row>
    <row r="41" spans="1:14" ht="15" customHeight="1" outlineLevel="1" thickBot="1" x14ac:dyDescent="0.35">
      <c r="B41" s="26"/>
      <c r="E41" s="26"/>
      <c r="H41" s="27"/>
      <c r="I41" s="27"/>
      <c r="J41" s="27"/>
      <c r="K41" s="27"/>
      <c r="L41" s="86"/>
      <c r="N41" s="87"/>
    </row>
    <row r="42" spans="1:14" ht="15" customHeight="1" outlineLevel="1" thickBot="1" x14ac:dyDescent="0.35">
      <c r="B42" s="28" t="s">
        <v>19</v>
      </c>
      <c r="C42" s="29"/>
      <c r="D42" s="30"/>
      <c r="H42" s="27"/>
      <c r="I42" s="47">
        <f>E13*E35*12</f>
        <v>134400</v>
      </c>
      <c r="K42" s="27"/>
      <c r="L42" s="85"/>
      <c r="N42" s="87"/>
    </row>
    <row r="43" spans="1:14" ht="15" customHeight="1" thickBot="1" x14ac:dyDescent="0.35">
      <c r="B43" s="28" t="s">
        <v>41</v>
      </c>
      <c r="C43" s="31"/>
      <c r="D43" s="30"/>
      <c r="F43" s="32"/>
      <c r="H43" s="27"/>
      <c r="I43" s="47">
        <f ca="1">E16*(1-E14)*E11+0.2*E11+(I23+I24+I25+I26+I28+I29+I30)*E40</f>
        <v>89494.3250035573</v>
      </c>
      <c r="K43" s="27"/>
      <c r="L43" s="85"/>
      <c r="N43" s="87"/>
    </row>
    <row r="44" spans="1:14" ht="15" customHeight="1" x14ac:dyDescent="0.3">
      <c r="A44" s="27"/>
      <c r="B44" s="7"/>
      <c r="D44" s="7"/>
      <c r="E44" s="32"/>
      <c r="F44" s="32"/>
      <c r="H44" s="27"/>
      <c r="I44" s="33"/>
      <c r="K44" s="27"/>
      <c r="L44" s="85"/>
      <c r="N44" s="87"/>
    </row>
    <row r="45" spans="1:14" ht="15" customHeight="1" thickBot="1" x14ac:dyDescent="0.35">
      <c r="A45" s="27"/>
      <c r="B45" s="34"/>
      <c r="C45" s="25"/>
      <c r="D45" s="34"/>
      <c r="E45" s="32"/>
      <c r="F45" s="32"/>
      <c r="H45" s="27"/>
      <c r="I45" s="33"/>
      <c r="K45" s="27"/>
      <c r="L45" s="85"/>
      <c r="N45" s="87"/>
    </row>
    <row r="46" spans="1:14" ht="15" customHeight="1" thickBot="1" x14ac:dyDescent="0.35">
      <c r="B46" s="35" t="s">
        <v>26</v>
      </c>
      <c r="C46" s="36"/>
      <c r="D46" s="37"/>
      <c r="H46" s="27"/>
      <c r="I46" s="50">
        <f ca="1">-E40*(I42-I43)</f>
        <v>-8981.1349992885407</v>
      </c>
      <c r="J46" s="49">
        <f ca="1">I46/(12*E13)</f>
        <v>-21.38365476021081</v>
      </c>
      <c r="L46" s="79"/>
      <c r="M46" s="33"/>
      <c r="N46" s="88"/>
    </row>
    <row r="47" spans="1:14" ht="15" customHeight="1" thickBot="1" x14ac:dyDescent="0.35">
      <c r="B47" s="38"/>
      <c r="C47" s="22"/>
      <c r="D47" s="22"/>
      <c r="H47" s="27"/>
      <c r="I47" s="39"/>
      <c r="J47" s="40"/>
      <c r="L47" s="79"/>
    </row>
    <row r="48" spans="1:14" ht="15" customHeight="1" thickBot="1" x14ac:dyDescent="0.35">
      <c r="B48" s="11" t="s">
        <v>34</v>
      </c>
      <c r="C48" s="11"/>
      <c r="D48" s="11"/>
      <c r="E48" s="41"/>
      <c r="F48" s="15"/>
      <c r="I48" s="50">
        <f ca="1">I38+I46</f>
        <v>7947.2399829249589</v>
      </c>
      <c r="J48" s="51">
        <f ca="1">J38+J46</f>
        <v>18.921999993224155</v>
      </c>
    </row>
    <row r="49" spans="2:13" ht="15" customHeight="1" x14ac:dyDescent="0.3">
      <c r="B49" s="22"/>
      <c r="C49" s="22"/>
      <c r="D49" s="22"/>
      <c r="E49" s="22"/>
      <c r="G49" s="42"/>
      <c r="I49" s="22"/>
    </row>
    <row r="50" spans="2:13" ht="15" customHeight="1" x14ac:dyDescent="0.3">
      <c r="B50" s="43" t="s">
        <v>46</v>
      </c>
    </row>
    <row r="51" spans="2:13" ht="15" customHeight="1" x14ac:dyDescent="0.3">
      <c r="B51" s="43"/>
    </row>
    <row r="54" spans="2:13" ht="15" customHeight="1" x14ac:dyDescent="0.3">
      <c r="H54" s="89"/>
      <c r="I54" s="89"/>
      <c r="J54" s="89"/>
      <c r="K54" s="89"/>
      <c r="L54" s="89"/>
      <c r="M54" s="58"/>
    </row>
    <row r="55" spans="2:13" ht="15" customHeight="1" x14ac:dyDescent="0.3">
      <c r="H55" s="89"/>
      <c r="I55" s="89"/>
      <c r="J55" s="89"/>
      <c r="K55" s="89"/>
      <c r="L55" s="89"/>
      <c r="M55" s="58"/>
    </row>
    <row r="56" spans="2:13" ht="15" customHeight="1" x14ac:dyDescent="0.3">
      <c r="H56" s="89"/>
      <c r="I56" s="89"/>
      <c r="J56" s="89"/>
      <c r="K56" s="89"/>
      <c r="L56" s="89"/>
      <c r="M56" s="58"/>
    </row>
    <row r="57" spans="2:13" ht="15" customHeight="1" x14ac:dyDescent="0.3">
      <c r="H57" s="89"/>
      <c r="I57" s="89"/>
      <c r="J57" s="89"/>
      <c r="K57" s="89"/>
      <c r="L57" s="89"/>
      <c r="M57" s="58"/>
    </row>
    <row r="58" spans="2:13" ht="15" customHeight="1" x14ac:dyDescent="0.3">
      <c r="H58" s="89"/>
      <c r="I58" s="89"/>
      <c r="J58" s="89"/>
      <c r="K58" s="89"/>
      <c r="L58" s="89"/>
      <c r="M58" s="58"/>
    </row>
    <row r="59" spans="2:13" ht="15" customHeight="1" x14ac:dyDescent="0.3">
      <c r="H59" s="90"/>
      <c r="I59" s="90"/>
      <c r="J59" s="90"/>
      <c r="K59" s="90"/>
      <c r="L59" s="90"/>
      <c r="M59" s="58"/>
    </row>
    <row r="60" spans="2:13" ht="15" customHeight="1" x14ac:dyDescent="0.3">
      <c r="H60" s="89"/>
      <c r="I60" s="89"/>
      <c r="J60" s="89"/>
      <c r="K60" s="89"/>
      <c r="L60" s="89"/>
    </row>
    <row r="61" spans="2:13" ht="15" customHeight="1" x14ac:dyDescent="0.3">
      <c r="H61" s="89"/>
      <c r="I61" s="89"/>
      <c r="J61" s="89"/>
      <c r="K61" s="89"/>
      <c r="L61" s="89"/>
    </row>
    <row r="62" spans="2:13" ht="15" customHeight="1" x14ac:dyDescent="0.3">
      <c r="H62" s="91"/>
      <c r="I62" s="91"/>
      <c r="J62" s="91"/>
      <c r="K62" s="91"/>
      <c r="L62" s="91"/>
      <c r="M62" s="91"/>
    </row>
    <row r="63" spans="2:13" ht="15" customHeight="1" x14ac:dyDescent="0.3">
      <c r="I63" s="91"/>
      <c r="J63" s="91"/>
      <c r="K63" s="91"/>
      <c r="L63" s="91"/>
      <c r="M63" s="91"/>
    </row>
    <row r="64" spans="2:13" ht="15" customHeight="1" x14ac:dyDescent="0.3">
      <c r="I64" s="91"/>
      <c r="J64" s="91"/>
      <c r="K64" s="91"/>
      <c r="L64" s="91"/>
      <c r="M64" s="91"/>
    </row>
    <row r="65" spans="2:13" ht="15" customHeight="1" x14ac:dyDescent="0.3">
      <c r="I65" s="91"/>
      <c r="J65" s="91"/>
      <c r="K65" s="91"/>
      <c r="L65" s="91"/>
      <c r="M65" s="91"/>
    </row>
    <row r="66" spans="2:13" ht="15" customHeight="1" x14ac:dyDescent="0.3">
      <c r="I66" s="91"/>
      <c r="J66" s="91"/>
      <c r="K66" s="91"/>
      <c r="L66" s="91"/>
      <c r="M66" s="91"/>
    </row>
    <row r="67" spans="2:13" ht="15" customHeight="1" x14ac:dyDescent="0.3">
      <c r="M67" s="58"/>
    </row>
    <row r="68" spans="2:13" ht="15" customHeight="1" x14ac:dyDescent="0.3">
      <c r="H68" s="22"/>
      <c r="I68" s="22"/>
      <c r="J68" s="22"/>
      <c r="K68" s="22"/>
      <c r="L68" s="22"/>
      <c r="M68" s="92"/>
    </row>
    <row r="69" spans="2:13" ht="15" customHeight="1" x14ac:dyDescent="0.3">
      <c r="H69" s="93"/>
      <c r="I69" s="93"/>
      <c r="J69" s="93"/>
      <c r="K69" s="93"/>
      <c r="L69" s="93"/>
      <c r="M69" s="92"/>
    </row>
    <row r="70" spans="2:13" ht="15" customHeight="1" x14ac:dyDescent="0.3">
      <c r="H70" s="93"/>
      <c r="I70" s="93"/>
      <c r="J70" s="93"/>
      <c r="K70" s="93"/>
      <c r="L70" s="93"/>
      <c r="M70" s="93"/>
    </row>
    <row r="71" spans="2:13" ht="15" customHeight="1" x14ac:dyDescent="0.3">
      <c r="H71" s="94"/>
      <c r="I71" s="94"/>
      <c r="J71" s="94"/>
      <c r="K71" s="94"/>
      <c r="L71" s="94"/>
      <c r="M71" s="92"/>
    </row>
    <row r="72" spans="2:13" ht="15" customHeight="1" x14ac:dyDescent="0.3">
      <c r="H72" s="95"/>
      <c r="I72" s="22"/>
      <c r="J72" s="22"/>
      <c r="K72" s="22"/>
      <c r="L72" s="22"/>
      <c r="M72" s="22"/>
    </row>
    <row r="73" spans="2:13" ht="15" customHeight="1" x14ac:dyDescent="0.3">
      <c r="H73" s="95"/>
      <c r="I73" s="22"/>
      <c r="J73" s="22"/>
      <c r="K73" s="22"/>
      <c r="L73" s="22"/>
      <c r="M73" s="22"/>
    </row>
    <row r="74" spans="2:13" ht="15" customHeight="1" x14ac:dyDescent="0.3">
      <c r="H74" s="22"/>
      <c r="I74" s="22"/>
      <c r="J74" s="22"/>
      <c r="K74" s="22"/>
      <c r="L74" s="22"/>
      <c r="M74" s="22"/>
    </row>
    <row r="75" spans="2:13" ht="15" customHeight="1" x14ac:dyDescent="0.3">
      <c r="C75" s="96"/>
      <c r="D75" s="96"/>
      <c r="E75" s="96"/>
      <c r="F75" s="96"/>
      <c r="G75" s="96"/>
    </row>
    <row r="76" spans="2:13" ht="15" customHeight="1" x14ac:dyDescent="0.3">
      <c r="C76" s="96"/>
      <c r="D76" s="96"/>
      <c r="E76" s="96"/>
      <c r="F76" s="96"/>
      <c r="G76" s="96"/>
    </row>
    <row r="77" spans="2:13" ht="15" customHeight="1" x14ac:dyDescent="0.3">
      <c r="B77" s="96" t="s">
        <v>35</v>
      </c>
    </row>
  </sheetData>
  <sheetProtection algorithmName="SHA-512" hashValue="uzLm7SI/ChNls1uANVBucCa7zjXuhSGvrTi85U/jPunl1n/kAmXVeL6dvPpIkwsAvQZf/X2fSnfocclr/LT7Mw==" saltValue="PY0AozwopdCNymohKT4V1w==" spinCount="100000" sheet="1" objects="1" scenarios="1"/>
  <mergeCells count="4">
    <mergeCell ref="H9:J9"/>
    <mergeCell ref="B6:J6"/>
    <mergeCell ref="C2:J3"/>
    <mergeCell ref="B7:K7"/>
  </mergeCells>
  <conditionalFormatting sqref="L33:L34">
    <cfRule type="dataBar" priority="6">
      <dataBar>
        <cfvo type="min"/>
        <cfvo type="max"/>
        <color rgb="FFFF555A"/>
      </dataBar>
      <extLst>
        <ext xmlns:x14="http://schemas.microsoft.com/office/spreadsheetml/2009/9/main" uri="{B025F937-C7B1-47D3-B67F-A62EFF666E3E}">
          <x14:id>{5713B20A-3413-45F8-8BF1-7060CB35578C}</x14:id>
        </ext>
      </extLst>
    </cfRule>
    <cfRule type="colorScale" priority="23">
      <colorScale>
        <cfvo type="min"/>
        <cfvo type="max"/>
        <color rgb="FF63BE7B"/>
        <color rgb="FFFCFCFF"/>
      </colorScale>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7" r:id="rId4" name="Scroll Bar 23">
              <controlPr defaultSize="0" autoPict="0">
                <anchor moveWithCells="1">
                  <from>
                    <xdr:col>7</xdr:col>
                    <xdr:colOff>30480</xdr:colOff>
                    <xdr:row>17</xdr:row>
                    <xdr:rowOff>38100</xdr:rowOff>
                  </from>
                  <to>
                    <xdr:col>9</xdr:col>
                    <xdr:colOff>579120</xdr:colOff>
                    <xdr:row>17</xdr:row>
                    <xdr:rowOff>175260</xdr:rowOff>
                  </to>
                </anchor>
              </controlPr>
            </control>
          </mc:Choice>
        </mc:AlternateContent>
        <mc:AlternateContent xmlns:mc="http://schemas.openxmlformats.org/markup-compatibility/2006">
          <mc:Choice Requires="x14">
            <control shapeId="1048" r:id="rId5" name="Scroll Bar 24">
              <controlPr defaultSize="0" autoPict="0">
                <anchor moveWithCells="1">
                  <from>
                    <xdr:col>7</xdr:col>
                    <xdr:colOff>30480</xdr:colOff>
                    <xdr:row>18</xdr:row>
                    <xdr:rowOff>22860</xdr:rowOff>
                  </from>
                  <to>
                    <xdr:col>9</xdr:col>
                    <xdr:colOff>571500</xdr:colOff>
                    <xdr:row>18</xdr:row>
                    <xdr:rowOff>167640</xdr:rowOff>
                  </to>
                </anchor>
              </controlPr>
            </control>
          </mc:Choice>
        </mc:AlternateContent>
        <mc:AlternateContent xmlns:mc="http://schemas.openxmlformats.org/markup-compatibility/2006">
          <mc:Choice Requires="x14">
            <control shapeId="1049" r:id="rId6" name="Scroll Bar 25">
              <controlPr defaultSize="0" autoPict="0">
                <anchor moveWithCells="1">
                  <from>
                    <xdr:col>7</xdr:col>
                    <xdr:colOff>38100</xdr:colOff>
                    <xdr:row>12</xdr:row>
                    <xdr:rowOff>38100</xdr:rowOff>
                  </from>
                  <to>
                    <xdr:col>9</xdr:col>
                    <xdr:colOff>579120</xdr:colOff>
                    <xdr:row>12</xdr:row>
                    <xdr:rowOff>160020</xdr:rowOff>
                  </to>
                </anchor>
              </controlPr>
            </control>
          </mc:Choice>
        </mc:AlternateContent>
        <mc:AlternateContent xmlns:mc="http://schemas.openxmlformats.org/markup-compatibility/2006">
          <mc:Choice Requires="x14">
            <control shapeId="1050" r:id="rId7" name="Scroll Bar 26">
              <controlPr defaultSize="0" autoPict="0">
                <anchor moveWithCells="1">
                  <from>
                    <xdr:col>7</xdr:col>
                    <xdr:colOff>45720</xdr:colOff>
                    <xdr:row>15</xdr:row>
                    <xdr:rowOff>38100</xdr:rowOff>
                  </from>
                  <to>
                    <xdr:col>9</xdr:col>
                    <xdr:colOff>579120</xdr:colOff>
                    <xdr:row>15</xdr:row>
                    <xdr:rowOff>175260</xdr:rowOff>
                  </to>
                </anchor>
              </controlPr>
            </control>
          </mc:Choice>
        </mc:AlternateContent>
        <mc:AlternateContent xmlns:mc="http://schemas.openxmlformats.org/markup-compatibility/2006">
          <mc:Choice Requires="x14">
            <control shapeId="1051" r:id="rId8" name="Scroll Bar 27">
              <controlPr locked="0" defaultSize="0" autoPict="0">
                <anchor moveWithCells="1">
                  <from>
                    <xdr:col>7</xdr:col>
                    <xdr:colOff>38100</xdr:colOff>
                    <xdr:row>10</xdr:row>
                    <xdr:rowOff>38100</xdr:rowOff>
                  </from>
                  <to>
                    <xdr:col>9</xdr:col>
                    <xdr:colOff>571500</xdr:colOff>
                    <xdr:row>10</xdr:row>
                    <xdr:rowOff>160020</xdr:rowOff>
                  </to>
                </anchor>
              </controlPr>
            </control>
          </mc:Choice>
        </mc:AlternateContent>
        <mc:AlternateContent xmlns:mc="http://schemas.openxmlformats.org/markup-compatibility/2006">
          <mc:Choice Requires="x14">
            <control shapeId="1056" r:id="rId9" name="Scroll Bar 32">
              <controlPr defaultSize="0" autoPict="0">
                <anchor moveWithCells="1">
                  <from>
                    <xdr:col>7</xdr:col>
                    <xdr:colOff>45720</xdr:colOff>
                    <xdr:row>34</xdr:row>
                    <xdr:rowOff>22860</xdr:rowOff>
                  </from>
                  <to>
                    <xdr:col>9</xdr:col>
                    <xdr:colOff>579120</xdr:colOff>
                    <xdr:row>34</xdr:row>
                    <xdr:rowOff>175260</xdr:rowOff>
                  </to>
                </anchor>
              </controlPr>
            </control>
          </mc:Choice>
        </mc:AlternateContent>
        <mc:AlternateContent xmlns:mc="http://schemas.openxmlformats.org/markup-compatibility/2006">
          <mc:Choice Requires="x14">
            <control shapeId="1057" r:id="rId10" name="Scroll Bar 33">
              <controlPr defaultSize="0" autoPict="0">
                <anchor moveWithCells="1">
                  <from>
                    <xdr:col>7</xdr:col>
                    <xdr:colOff>45720</xdr:colOff>
                    <xdr:row>13</xdr:row>
                    <xdr:rowOff>30480</xdr:rowOff>
                  </from>
                  <to>
                    <xdr:col>9</xdr:col>
                    <xdr:colOff>579120</xdr:colOff>
                    <xdr:row>13</xdr:row>
                    <xdr:rowOff>167640</xdr:rowOff>
                  </to>
                </anchor>
              </controlPr>
            </control>
          </mc:Choice>
        </mc:AlternateContent>
        <mc:AlternateContent xmlns:mc="http://schemas.openxmlformats.org/markup-compatibility/2006">
          <mc:Choice Requires="x14">
            <control shapeId="1060" r:id="rId11" name="Scroll Bar 36">
              <controlPr defaultSize="0" autoPict="0">
                <anchor moveWithCells="1">
                  <from>
                    <xdr:col>7</xdr:col>
                    <xdr:colOff>30480</xdr:colOff>
                    <xdr:row>39</xdr:row>
                    <xdr:rowOff>30480</xdr:rowOff>
                  </from>
                  <to>
                    <xdr:col>9</xdr:col>
                    <xdr:colOff>579120</xdr:colOff>
                    <xdr:row>39</xdr:row>
                    <xdr:rowOff>167640</xdr:rowOff>
                  </to>
                </anchor>
              </controlPr>
            </control>
          </mc:Choice>
        </mc:AlternateContent>
        <mc:AlternateContent xmlns:mc="http://schemas.openxmlformats.org/markup-compatibility/2006">
          <mc:Choice Requires="x14">
            <control shapeId="1061" r:id="rId12" name="Scroll Bar 37">
              <controlPr defaultSize="0" autoPict="0">
                <anchor moveWithCells="1">
                  <from>
                    <xdr:col>7</xdr:col>
                    <xdr:colOff>45720</xdr:colOff>
                    <xdr:row>14</xdr:row>
                    <xdr:rowOff>30480</xdr:rowOff>
                  </from>
                  <to>
                    <xdr:col>9</xdr:col>
                    <xdr:colOff>571500</xdr:colOff>
                    <xdr:row>14</xdr:row>
                    <xdr:rowOff>167640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5713B20A-3413-45F8-8BF1-7060CB35578C}">
            <x14:dataBar minLength="0" maxLength="100" border="1" negativeBarBorderColorSameAsPositive="0">
              <x14:cfvo type="autoMin"/>
              <x14:cfvo type="autoMax"/>
              <x14:borderColor rgb="FFFF555A"/>
              <x14:negativeFillColor rgb="FFFF0000"/>
              <x14:negativeBorderColor rgb="FFFF0000"/>
              <x14:axisColor rgb="FF000000"/>
            </x14:dataBar>
          </x14:cfRule>
          <xm:sqref>L33:L34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C-182 Cost of Ownership</vt:lpstr>
      <vt:lpstr>C-182 Ownership, Rental, Taxes</vt:lpstr>
      <vt:lpstr>'C-182 Cost of Ownership'!Print_Area</vt:lpstr>
      <vt:lpstr>'C-182 Ownership, Rental, Taxes'!Print_Area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dc:creator>
  <cp:lastModifiedBy>Admin1</cp:lastModifiedBy>
  <cp:lastPrinted>2014-06-11T16:37:27Z</cp:lastPrinted>
  <dcterms:created xsi:type="dcterms:W3CDTF">2013-11-24T03:45:13Z</dcterms:created>
  <dcterms:modified xsi:type="dcterms:W3CDTF">2014-06-11T16:40:03Z</dcterms:modified>
</cp:coreProperties>
</file>